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mester 8\ManPro\Tugas Besar Fix\"/>
    </mc:Choice>
  </mc:AlternateContent>
  <bookViews>
    <workbookView xWindow="0" yWindow="0" windowWidth="0" windowHeight="225" activeTab="2"/>
  </bookViews>
  <sheets>
    <sheet name="REKAPITULASI" sheetId="2" r:id="rId1"/>
    <sheet name="RAB" sheetId="1" r:id="rId2"/>
    <sheet name="AHSP" sheetId="3" r:id="rId3"/>
    <sheet name="HSM" sheetId="4" r:id="rId4"/>
    <sheet name="HSU" sheetId="5" r:id="rId5"/>
    <sheet name="Sheet4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H25" i="3"/>
  <c r="H38" i="3"/>
  <c r="H46" i="3"/>
  <c r="H53" i="3" s="1"/>
  <c r="H62" i="3"/>
  <c r="H71" i="3"/>
  <c r="H80" i="3"/>
  <c r="H99" i="3"/>
  <c r="H111" i="3"/>
  <c r="H126" i="3"/>
  <c r="H155" i="3"/>
  <c r="H174" i="3"/>
  <c r="H186" i="3"/>
  <c r="H197" i="3"/>
  <c r="H209" i="3"/>
  <c r="H508" i="3"/>
  <c r="H1252" i="3"/>
  <c r="G514" i="3"/>
  <c r="F10" i="3"/>
  <c r="I38" i="1" l="1"/>
  <c r="H48" i="1"/>
  <c r="I42" i="1"/>
  <c r="E44" i="1"/>
  <c r="F18" i="3"/>
  <c r="P19" i="1" l="1"/>
  <c r="H193" i="1"/>
  <c r="E189" i="1"/>
  <c r="H186" i="1"/>
  <c r="H187" i="1"/>
  <c r="H182" i="1"/>
  <c r="H194" i="1" s="1"/>
  <c r="H167" i="1"/>
  <c r="E164" i="1"/>
  <c r="H162" i="1"/>
  <c r="I162" i="1" s="1"/>
  <c r="D157" i="1"/>
  <c r="D152" i="1"/>
  <c r="H146" i="1"/>
  <c r="H147" i="1"/>
  <c r="E129" i="1"/>
  <c r="H84" i="1"/>
  <c r="H91" i="1" s="1"/>
  <c r="H85" i="1"/>
  <c r="E58" i="1"/>
  <c r="E62" i="1"/>
  <c r="E65" i="1"/>
  <c r="F50" i="1"/>
  <c r="I50" i="1" s="1"/>
  <c r="D47" i="1"/>
  <c r="I47" i="1" s="1"/>
  <c r="H43" i="1"/>
  <c r="H42" i="1"/>
  <c r="E32" i="1"/>
  <c r="H25" i="1"/>
  <c r="H61" i="1" s="1"/>
  <c r="H26" i="1"/>
  <c r="H27" i="1"/>
  <c r="F16" i="1"/>
  <c r="F19" i="1" s="1"/>
  <c r="F23" i="1"/>
  <c r="I56" i="1"/>
  <c r="E16" i="1"/>
  <c r="E23" i="1" s="1"/>
  <c r="H44" i="1" s="1"/>
  <c r="I17" i="1"/>
  <c r="D12" i="1"/>
  <c r="H11" i="1"/>
  <c r="H151" i="1" l="1"/>
  <c r="H153" i="1" s="1"/>
  <c r="H192" i="1" s="1"/>
  <c r="E24" i="1"/>
  <c r="I24" i="1" s="1"/>
  <c r="E45" i="1"/>
  <c r="I23" i="1"/>
  <c r="D158" i="1"/>
  <c r="I16" i="1"/>
  <c r="I18" i="1" s="1"/>
  <c r="E19" i="1"/>
  <c r="I19" i="1" s="1"/>
  <c r="H50" i="1"/>
  <c r="H64" i="1" s="1"/>
  <c r="H31" i="1"/>
  <c r="H33" i="1" s="1"/>
  <c r="H89" i="1" s="1"/>
  <c r="E14" i="2"/>
  <c r="D1402" i="3"/>
  <c r="D1403" i="3"/>
  <c r="G1403" i="3" s="1"/>
  <c r="F1402" i="3"/>
  <c r="F1404" i="3" s="1"/>
  <c r="G1404" i="3" s="1"/>
  <c r="F1439" i="3"/>
  <c r="G1439" i="3" s="1"/>
  <c r="F1444" i="3"/>
  <c r="G1444" i="3" s="1"/>
  <c r="F1443" i="3"/>
  <c r="G1443" i="3" s="1"/>
  <c r="F1442" i="3"/>
  <c r="G1442" i="3" s="1"/>
  <c r="F1441" i="3"/>
  <c r="G1441" i="3" s="1"/>
  <c r="G1440" i="3"/>
  <c r="F1426" i="3"/>
  <c r="G1426" i="3" s="1"/>
  <c r="G1427" i="3"/>
  <c r="G1428" i="3"/>
  <c r="F1432" i="3"/>
  <c r="G1432" i="3" s="1"/>
  <c r="F1431" i="3"/>
  <c r="G1431" i="3" s="1"/>
  <c r="F1430" i="3"/>
  <c r="G1430" i="3" s="1"/>
  <c r="F1429" i="3"/>
  <c r="G1429" i="3" s="1"/>
  <c r="F1415" i="3"/>
  <c r="G1415" i="3" s="1"/>
  <c r="F1419" i="3"/>
  <c r="G1419" i="3" s="1"/>
  <c r="F1418" i="3"/>
  <c r="G1418" i="3" s="1"/>
  <c r="F1417" i="3"/>
  <c r="G1417" i="3" s="1"/>
  <c r="F1416" i="3"/>
  <c r="G1416" i="3" s="1"/>
  <c r="F1408" i="3"/>
  <c r="G1408" i="3" s="1"/>
  <c r="F1407" i="3"/>
  <c r="G1407" i="3" s="1"/>
  <c r="F1406" i="3"/>
  <c r="G1406" i="3" s="1"/>
  <c r="F1405" i="3"/>
  <c r="G1405" i="3" s="1"/>
  <c r="F1389" i="3"/>
  <c r="G1389" i="3" s="1"/>
  <c r="F1388" i="3"/>
  <c r="G1388" i="3" s="1"/>
  <c r="F1387" i="3"/>
  <c r="G1387" i="3" s="1"/>
  <c r="F1386" i="3"/>
  <c r="G1386" i="3" s="1"/>
  <c r="G1385" i="3"/>
  <c r="G1384" i="3"/>
  <c r="K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13" i="1"/>
  <c r="J207" i="1"/>
  <c r="K207" i="1"/>
  <c r="J208" i="1"/>
  <c r="K208" i="1"/>
  <c r="J209" i="1"/>
  <c r="K209" i="1"/>
  <c r="J205" i="1"/>
  <c r="K205" i="1"/>
  <c r="J206" i="1"/>
  <c r="K206" i="1"/>
  <c r="J200" i="1"/>
  <c r="K200" i="1"/>
  <c r="J201" i="1"/>
  <c r="K201" i="1"/>
  <c r="J202" i="1"/>
  <c r="K202" i="1"/>
  <c r="J203" i="1"/>
  <c r="K203" i="1"/>
  <c r="J204" i="1"/>
  <c r="K204" i="1"/>
  <c r="J199" i="1"/>
  <c r="K199" i="1"/>
  <c r="J198" i="1"/>
  <c r="K198" i="1"/>
  <c r="K197" i="1"/>
  <c r="J197" i="1"/>
  <c r="J193" i="1"/>
  <c r="K193" i="1"/>
  <c r="J194" i="1"/>
  <c r="K194" i="1"/>
  <c r="K192" i="1"/>
  <c r="J192" i="1"/>
  <c r="J182" i="1"/>
  <c r="K182" i="1"/>
  <c r="K181" i="1"/>
  <c r="J181" i="1"/>
  <c r="F640" i="3"/>
  <c r="G640" i="3" s="1"/>
  <c r="F639" i="3"/>
  <c r="G639" i="3" s="1"/>
  <c r="F638" i="3"/>
  <c r="G638" i="3" s="1"/>
  <c r="F637" i="3"/>
  <c r="G637" i="3" s="1"/>
  <c r="G636" i="3"/>
  <c r="G635" i="3"/>
  <c r="G634" i="3"/>
  <c r="G633" i="3"/>
  <c r="G632" i="3"/>
  <c r="G631" i="3"/>
  <c r="D615" i="3"/>
  <c r="G615" i="3" s="1"/>
  <c r="D599" i="3"/>
  <c r="D616" i="3"/>
  <c r="G616" i="3" s="1"/>
  <c r="D598" i="3"/>
  <c r="G598" i="3" s="1"/>
  <c r="G657" i="3"/>
  <c r="G656" i="3"/>
  <c r="G655" i="3"/>
  <c r="G654" i="3"/>
  <c r="G653" i="3"/>
  <c r="G652" i="3"/>
  <c r="G651" i="3"/>
  <c r="G650" i="3"/>
  <c r="G649" i="3"/>
  <c r="G648" i="3"/>
  <c r="G647" i="3"/>
  <c r="G624" i="3"/>
  <c r="G623" i="3"/>
  <c r="G622" i="3"/>
  <c r="G621" i="3"/>
  <c r="G620" i="3"/>
  <c r="G619" i="3"/>
  <c r="G618" i="3"/>
  <c r="G617" i="3"/>
  <c r="G614" i="3"/>
  <c r="G664" i="3"/>
  <c r="G665" i="3"/>
  <c r="G666" i="3"/>
  <c r="G667" i="3"/>
  <c r="G668" i="3"/>
  <c r="G669" i="3"/>
  <c r="F670" i="3"/>
  <c r="G670" i="3" s="1"/>
  <c r="F671" i="3"/>
  <c r="G671" i="3" s="1"/>
  <c r="F672" i="3"/>
  <c r="G672" i="3" s="1"/>
  <c r="F673" i="3"/>
  <c r="G673" i="3" s="1"/>
  <c r="G607" i="3"/>
  <c r="G606" i="3"/>
  <c r="G605" i="3"/>
  <c r="G604" i="3"/>
  <c r="G603" i="3"/>
  <c r="G602" i="3"/>
  <c r="G600" i="3"/>
  <c r="G599" i="3"/>
  <c r="G597" i="3"/>
  <c r="J165" i="1"/>
  <c r="K165" i="1"/>
  <c r="L165" i="1"/>
  <c r="J166" i="1"/>
  <c r="K166" i="1"/>
  <c r="J167" i="1"/>
  <c r="K167" i="1"/>
  <c r="J168" i="1"/>
  <c r="K168" i="1"/>
  <c r="J163" i="1"/>
  <c r="K163" i="1"/>
  <c r="J164" i="1"/>
  <c r="K164" i="1"/>
  <c r="K162" i="1"/>
  <c r="J162" i="1"/>
  <c r="F424" i="3"/>
  <c r="G424" i="3" s="1"/>
  <c r="F423" i="3"/>
  <c r="G423" i="3" s="1"/>
  <c r="F422" i="3"/>
  <c r="G422" i="3" s="1"/>
  <c r="F421" i="3"/>
  <c r="G421" i="3" s="1"/>
  <c r="F420" i="3"/>
  <c r="G420" i="3" s="1"/>
  <c r="F419" i="3"/>
  <c r="G419" i="3" s="1"/>
  <c r="G418" i="3"/>
  <c r="G417" i="3"/>
  <c r="G416" i="3"/>
  <c r="G415" i="3"/>
  <c r="G414" i="3"/>
  <c r="G413" i="3"/>
  <c r="G412" i="3"/>
  <c r="G411" i="3"/>
  <c r="G410" i="3"/>
  <c r="G409" i="3"/>
  <c r="F397" i="3"/>
  <c r="G397" i="3" s="1"/>
  <c r="F398" i="3"/>
  <c r="G398" i="3" s="1"/>
  <c r="F399" i="3"/>
  <c r="G399" i="3" s="1"/>
  <c r="F400" i="3"/>
  <c r="G400" i="3" s="1"/>
  <c r="F401" i="3"/>
  <c r="G401" i="3" s="1"/>
  <c r="F396" i="3"/>
  <c r="G396" i="3" s="1"/>
  <c r="G395" i="3"/>
  <c r="G394" i="3"/>
  <c r="G393" i="3"/>
  <c r="G392" i="3"/>
  <c r="G391" i="3"/>
  <c r="G390" i="3"/>
  <c r="G389" i="3"/>
  <c r="G388" i="3"/>
  <c r="G387" i="3"/>
  <c r="G386" i="3"/>
  <c r="J152" i="1"/>
  <c r="K152" i="1"/>
  <c r="J153" i="1"/>
  <c r="K153" i="1"/>
  <c r="K151" i="1"/>
  <c r="J151" i="1"/>
  <c r="K147" i="1"/>
  <c r="M147" i="1"/>
  <c r="K146" i="1"/>
  <c r="M146" i="1"/>
  <c r="G1445" i="3" l="1"/>
  <c r="G1433" i="3"/>
  <c r="G1390" i="3"/>
  <c r="G1420" i="3"/>
  <c r="G658" i="3"/>
  <c r="G402" i="3"/>
  <c r="G674" i="3"/>
  <c r="G625" i="3"/>
  <c r="G641" i="3"/>
  <c r="G425" i="3"/>
  <c r="G1402" i="3"/>
  <c r="G1409" i="3" s="1"/>
  <c r="I40" i="1"/>
  <c r="E46" i="1"/>
  <c r="H46" i="1" s="1"/>
  <c r="H45" i="1"/>
  <c r="H39" i="1"/>
  <c r="D601" i="3"/>
  <c r="G601" i="3" s="1"/>
  <c r="G608" i="3" s="1"/>
  <c r="I1445" i="3" l="1"/>
  <c r="I1446" i="3" s="1"/>
  <c r="I1447" i="3" s="1"/>
  <c r="I1448" i="3" s="1"/>
  <c r="L189" i="1" s="1"/>
  <c r="N189" i="1" s="1"/>
  <c r="I1433" i="3"/>
  <c r="I1434" i="3" s="1"/>
  <c r="I1435" i="3" s="1"/>
  <c r="I1436" i="3" s="1"/>
  <c r="L188" i="1" s="1"/>
  <c r="N188" i="1" s="1"/>
  <c r="I1420" i="3"/>
  <c r="I1421" i="3" s="1"/>
  <c r="I641" i="3"/>
  <c r="I658" i="3"/>
  <c r="I1409" i="3"/>
  <c r="I1390" i="3"/>
  <c r="I625" i="3"/>
  <c r="I608" i="3"/>
  <c r="I674" i="3"/>
  <c r="I402" i="3"/>
  <c r="I425" i="3"/>
  <c r="P146" i="1"/>
  <c r="I48" i="1"/>
  <c r="I41" i="1" s="1"/>
  <c r="H52" i="1"/>
  <c r="F258" i="3"/>
  <c r="G258" i="3" s="1"/>
  <c r="D262" i="3"/>
  <c r="D263" i="3" s="1"/>
  <c r="F263" i="3"/>
  <c r="F262" i="3"/>
  <c r="F261" i="3"/>
  <c r="G261" i="3" s="1"/>
  <c r="F260" i="3"/>
  <c r="G260" i="3" s="1"/>
  <c r="F259" i="3"/>
  <c r="G259" i="3" s="1"/>
  <c r="F271" i="3"/>
  <c r="G271" i="3" s="1"/>
  <c r="H279" i="3" s="1"/>
  <c r="F272" i="3"/>
  <c r="G272" i="3" s="1"/>
  <c r="F273" i="3"/>
  <c r="G273" i="3" s="1"/>
  <c r="F274" i="3"/>
  <c r="G274" i="3" s="1"/>
  <c r="F275" i="3"/>
  <c r="G275" i="3" s="1"/>
  <c r="F276" i="3"/>
  <c r="G276" i="3" s="1"/>
  <c r="F277" i="3"/>
  <c r="G277" i="3" s="1"/>
  <c r="F278" i="3"/>
  <c r="G278" i="3" s="1"/>
  <c r="I626" i="3" l="1"/>
  <c r="I627" i="3" s="1"/>
  <c r="I628" i="3" s="1"/>
  <c r="L175" i="1" s="1"/>
  <c r="I659" i="3"/>
  <c r="I660" i="3" s="1"/>
  <c r="I661" i="3" s="1"/>
  <c r="I609" i="3"/>
  <c r="I610" i="3" s="1"/>
  <c r="I1422" i="3"/>
  <c r="I1423" i="3" s="1"/>
  <c r="L187" i="1" s="1"/>
  <c r="N187" i="1" s="1"/>
  <c r="I426" i="3"/>
  <c r="I427" i="3" s="1"/>
  <c r="I428" i="3" s="1"/>
  <c r="L158" i="1" s="1"/>
  <c r="N158" i="1" s="1"/>
  <c r="I403" i="3"/>
  <c r="I404" i="3" s="1"/>
  <c r="I405" i="3" s="1"/>
  <c r="L157" i="1" s="1"/>
  <c r="N157" i="1" s="1"/>
  <c r="I1391" i="3"/>
  <c r="I1392" i="3" s="1"/>
  <c r="I1393" i="3" s="1"/>
  <c r="L234" i="1" s="1"/>
  <c r="I642" i="3"/>
  <c r="I643" i="3" s="1"/>
  <c r="I644" i="3" s="1"/>
  <c r="L176" i="1" s="1"/>
  <c r="I675" i="3"/>
  <c r="I676" i="3" s="1"/>
  <c r="I677" i="3" s="1"/>
  <c r="I1410" i="3"/>
  <c r="I1411" i="3" s="1"/>
  <c r="I1412" i="3" s="1"/>
  <c r="L186" i="1" s="1"/>
  <c r="N186" i="1" s="1"/>
  <c r="G279" i="3"/>
  <c r="G263" i="3"/>
  <c r="G262" i="3"/>
  <c r="J39" i="1"/>
  <c r="J38" i="1"/>
  <c r="J27" i="1"/>
  <c r="J26" i="1"/>
  <c r="J147" i="1" s="1"/>
  <c r="J25" i="1"/>
  <c r="J146" i="1" s="1"/>
  <c r="J24" i="1"/>
  <c r="J23" i="1"/>
  <c r="J11" i="1"/>
  <c r="J12" i="1"/>
  <c r="J16" i="1"/>
  <c r="J17" i="1"/>
  <c r="J18" i="1"/>
  <c r="J19" i="1"/>
  <c r="F1357" i="3"/>
  <c r="G1357" i="3" s="1"/>
  <c r="F1377" i="3"/>
  <c r="G1377" i="3" s="1"/>
  <c r="F1376" i="3"/>
  <c r="G1376" i="3" s="1"/>
  <c r="F1375" i="3"/>
  <c r="G1375" i="3" s="1"/>
  <c r="F1374" i="3"/>
  <c r="G1374" i="3" s="1"/>
  <c r="G1373" i="3"/>
  <c r="G1372" i="3"/>
  <c r="G1358" i="3"/>
  <c r="G1359" i="3"/>
  <c r="G1360" i="3"/>
  <c r="G1361" i="3"/>
  <c r="F1362" i="3"/>
  <c r="G1362" i="3" s="1"/>
  <c r="F1363" i="3"/>
  <c r="G1363" i="3" s="1"/>
  <c r="F1364" i="3"/>
  <c r="G1364" i="3" s="1"/>
  <c r="F1365" i="3"/>
  <c r="G1365" i="3" s="1"/>
  <c r="F1350" i="3"/>
  <c r="G1350" i="3" s="1"/>
  <c r="F1349" i="3"/>
  <c r="G1349" i="3" s="1"/>
  <c r="G1348" i="3"/>
  <c r="F1341" i="3"/>
  <c r="G1341" i="3" s="1"/>
  <c r="F1340" i="3"/>
  <c r="G1340" i="3" s="1"/>
  <c r="G1339" i="3"/>
  <c r="F1327" i="3"/>
  <c r="G1327" i="3" s="1"/>
  <c r="G1326" i="3"/>
  <c r="F1315" i="3"/>
  <c r="G1315" i="3" s="1"/>
  <c r="F1314" i="3"/>
  <c r="G1314" i="3" s="1"/>
  <c r="F1313" i="3"/>
  <c r="F1312" i="3"/>
  <c r="G1312" i="3" s="1"/>
  <c r="F1311" i="3"/>
  <c r="G1311" i="3" s="1"/>
  <c r="F1310" i="3"/>
  <c r="G1310" i="3" s="1"/>
  <c r="G1313" i="3"/>
  <c r="F1319" i="3"/>
  <c r="G1319" i="3" s="1"/>
  <c r="F1318" i="3"/>
  <c r="G1318" i="3" s="1"/>
  <c r="F1317" i="3"/>
  <c r="G1317" i="3" s="1"/>
  <c r="F1316" i="3"/>
  <c r="G1316" i="3" s="1"/>
  <c r="F1303" i="3"/>
  <c r="G1303" i="3" s="1"/>
  <c r="F1302" i="3"/>
  <c r="G1302" i="3" s="1"/>
  <c r="F1301" i="3"/>
  <c r="G1301" i="3" s="1"/>
  <c r="F1300" i="3"/>
  <c r="G1300" i="3" s="1"/>
  <c r="G1299" i="3"/>
  <c r="G1298" i="3"/>
  <c r="G1297" i="3"/>
  <c r="F1188" i="3"/>
  <c r="G1188" i="3" s="1"/>
  <c r="F1187" i="3"/>
  <c r="G1187" i="3" s="1"/>
  <c r="F1186" i="3"/>
  <c r="G1186" i="3" s="1"/>
  <c r="F1185" i="3"/>
  <c r="G1185" i="3" s="1"/>
  <c r="G1184" i="3"/>
  <c r="G1183" i="3"/>
  <c r="F1290" i="3"/>
  <c r="G1290" i="3" s="1"/>
  <c r="F1289" i="3"/>
  <c r="G1289" i="3" s="1"/>
  <c r="F1288" i="3"/>
  <c r="G1288" i="3" s="1"/>
  <c r="F1287" i="3"/>
  <c r="G1287" i="3" s="1"/>
  <c r="G1286" i="3"/>
  <c r="G1285" i="3"/>
  <c r="G1284" i="3"/>
  <c r="F1271" i="3"/>
  <c r="G1271" i="3" s="1"/>
  <c r="F1277" i="3"/>
  <c r="G1277" i="3" s="1"/>
  <c r="F1276" i="3"/>
  <c r="G1276" i="3" s="1"/>
  <c r="F1275" i="3"/>
  <c r="G1275" i="3" s="1"/>
  <c r="F1274" i="3"/>
  <c r="G1274" i="3" s="1"/>
  <c r="G1273" i="3"/>
  <c r="G1272" i="3"/>
  <c r="F1258" i="3"/>
  <c r="G1258" i="3" s="1"/>
  <c r="F1264" i="3"/>
  <c r="G1264" i="3" s="1"/>
  <c r="F1263" i="3"/>
  <c r="G1263" i="3" s="1"/>
  <c r="F1262" i="3"/>
  <c r="G1262" i="3" s="1"/>
  <c r="F1261" i="3"/>
  <c r="G1261" i="3" s="1"/>
  <c r="G1260" i="3"/>
  <c r="G1259" i="3"/>
  <c r="G1246" i="3"/>
  <c r="F1251" i="3"/>
  <c r="G1251" i="3" s="1"/>
  <c r="F1250" i="3"/>
  <c r="G1250" i="3" s="1"/>
  <c r="F1249" i="3"/>
  <c r="G1249" i="3" s="1"/>
  <c r="F1248" i="3"/>
  <c r="G1248" i="3" s="1"/>
  <c r="G1247" i="3"/>
  <c r="G1245" i="3"/>
  <c r="F1238" i="3"/>
  <c r="G1238" i="3" s="1"/>
  <c r="F1237" i="3"/>
  <c r="G1237" i="3" s="1"/>
  <c r="F1236" i="3"/>
  <c r="G1236" i="3" s="1"/>
  <c r="F1235" i="3"/>
  <c r="G1235" i="3" s="1"/>
  <c r="G1234" i="3"/>
  <c r="F1233" i="3"/>
  <c r="G1232" i="3"/>
  <c r="F1220" i="3"/>
  <c r="F1225" i="3"/>
  <c r="G1225" i="3" s="1"/>
  <c r="F1224" i="3"/>
  <c r="G1224" i="3" s="1"/>
  <c r="F1223" i="3"/>
  <c r="G1223" i="3" s="1"/>
  <c r="F1222" i="3"/>
  <c r="G1222" i="3" s="1"/>
  <c r="G1221" i="3"/>
  <c r="G1219" i="3"/>
  <c r="F1212" i="3"/>
  <c r="G1212" i="3" s="1"/>
  <c r="F1211" i="3"/>
  <c r="G1211" i="3" s="1"/>
  <c r="F1210" i="3"/>
  <c r="G1210" i="3" s="1"/>
  <c r="F1209" i="3"/>
  <c r="G1209" i="3" s="1"/>
  <c r="G1208" i="3"/>
  <c r="G1207" i="3"/>
  <c r="F1200" i="3"/>
  <c r="G1200" i="3" s="1"/>
  <c r="F1199" i="3"/>
  <c r="G1199" i="3" s="1"/>
  <c r="F1198" i="3"/>
  <c r="G1198" i="3" s="1"/>
  <c r="F1197" i="3"/>
  <c r="G1197" i="3" s="1"/>
  <c r="G1196" i="3"/>
  <c r="G1195" i="3"/>
  <c r="F1176" i="3"/>
  <c r="G1176" i="3" s="1"/>
  <c r="F1175" i="3"/>
  <c r="G1175" i="3" s="1"/>
  <c r="F1174" i="3"/>
  <c r="G1174" i="3" s="1"/>
  <c r="F1173" i="3"/>
  <c r="G1173" i="3" s="1"/>
  <c r="G1172" i="3"/>
  <c r="G1171" i="3"/>
  <c r="F1164" i="3"/>
  <c r="G1164" i="3" s="1"/>
  <c r="F1163" i="3"/>
  <c r="G1163" i="3" s="1"/>
  <c r="F1162" i="3"/>
  <c r="G1162" i="3" s="1"/>
  <c r="F1161" i="3"/>
  <c r="G1161" i="3" s="1"/>
  <c r="G1160" i="3"/>
  <c r="G1159" i="3"/>
  <c r="F1152" i="3"/>
  <c r="G1152" i="3" s="1"/>
  <c r="F1151" i="3"/>
  <c r="G1151" i="3" s="1"/>
  <c r="F1150" i="3"/>
  <c r="G1150" i="3" s="1"/>
  <c r="F1149" i="3"/>
  <c r="G1149" i="3" s="1"/>
  <c r="G1148" i="3"/>
  <c r="G1147" i="3"/>
  <c r="F1140" i="3"/>
  <c r="G1140" i="3" s="1"/>
  <c r="F1139" i="3"/>
  <c r="G1139" i="3" s="1"/>
  <c r="F1138" i="3"/>
  <c r="G1138" i="3" s="1"/>
  <c r="F1137" i="3"/>
  <c r="G1137" i="3" s="1"/>
  <c r="G1136" i="3"/>
  <c r="G1135" i="3"/>
  <c r="F1123" i="3"/>
  <c r="G1123" i="3" s="1"/>
  <c r="F1128" i="3"/>
  <c r="G1128" i="3" s="1"/>
  <c r="F1127" i="3"/>
  <c r="G1127" i="3" s="1"/>
  <c r="F1126" i="3"/>
  <c r="G1126" i="3" s="1"/>
  <c r="F1125" i="3"/>
  <c r="G1125" i="3" s="1"/>
  <c r="G1124" i="3"/>
  <c r="G1112" i="3"/>
  <c r="G1141" i="3" l="1"/>
  <c r="G1201" i="3"/>
  <c r="G1320" i="3"/>
  <c r="G1342" i="3"/>
  <c r="G1328" i="3"/>
  <c r="G1226" i="3"/>
  <c r="G1304" i="3"/>
  <c r="G1153" i="3"/>
  <c r="G1252" i="3"/>
  <c r="G1165" i="3"/>
  <c r="G1366" i="3"/>
  <c r="G1177" i="3"/>
  <c r="G1213" i="3"/>
  <c r="G1278" i="3"/>
  <c r="G1189" i="3"/>
  <c r="G1378" i="3"/>
  <c r="G1129" i="3"/>
  <c r="G1239" i="3"/>
  <c r="G1265" i="3"/>
  <c r="G1291" i="3"/>
  <c r="G1351" i="3"/>
  <c r="I1351" i="3" s="1"/>
  <c r="I279" i="3"/>
  <c r="I280" i="3" s="1"/>
  <c r="G264" i="3"/>
  <c r="I264" i="3" s="1"/>
  <c r="I265" i="3" s="1"/>
  <c r="I266" i="3" s="1"/>
  <c r="I267" i="3" s="1"/>
  <c r="L41" i="1" s="1"/>
  <c r="N41" i="1" s="1"/>
  <c r="I611" i="3"/>
  <c r="L172" i="1" s="1"/>
  <c r="I1328" i="3"/>
  <c r="I1329" i="3" s="1"/>
  <c r="I1352" i="3" l="1"/>
  <c r="I1353" i="3" s="1"/>
  <c r="I1239" i="3"/>
  <c r="I1304" i="3"/>
  <c r="I1189" i="3"/>
  <c r="I1378" i="3"/>
  <c r="I1226" i="3"/>
  <c r="I1342" i="3"/>
  <c r="I1366" i="3"/>
  <c r="I1129" i="3"/>
  <c r="I1278" i="3"/>
  <c r="I1265" i="3"/>
  <c r="I1213" i="3"/>
  <c r="I1165" i="3"/>
  <c r="I1201" i="3"/>
  <c r="I1202" i="3" s="1"/>
  <c r="I1291" i="3"/>
  <c r="I1330" i="3"/>
  <c r="I1331" i="3" s="1"/>
  <c r="I1320" i="3"/>
  <c r="I1252" i="3"/>
  <c r="I1153" i="3"/>
  <c r="I1177" i="3"/>
  <c r="I1141" i="3"/>
  <c r="I1354" i="3" l="1"/>
  <c r="L139" i="1" s="1"/>
  <c r="N139" i="1" s="1"/>
  <c r="I1203" i="3"/>
  <c r="I1204" i="3" s="1"/>
  <c r="L123" i="1" s="1"/>
  <c r="L220" i="1" s="1"/>
  <c r="I1178" i="3"/>
  <c r="I1179" i="3" s="1"/>
  <c r="I1180" i="3" s="1"/>
  <c r="L121" i="1" s="1"/>
  <c r="L218" i="1" s="1"/>
  <c r="I1214" i="3"/>
  <c r="I1215" i="3" s="1"/>
  <c r="I1216" i="3" s="1"/>
  <c r="L124" i="1" s="1"/>
  <c r="L221" i="1" s="1"/>
  <c r="I1367" i="3"/>
  <c r="I1368" i="3" s="1"/>
  <c r="I1369" i="3" s="1"/>
  <c r="L140" i="1" s="1"/>
  <c r="N140" i="1" s="1"/>
  <c r="I1305" i="3"/>
  <c r="I1306" i="3" s="1"/>
  <c r="I1307" i="3" s="1"/>
  <c r="L131" i="1" s="1"/>
  <c r="L228" i="1" s="1"/>
  <c r="I1154" i="3"/>
  <c r="I1155" i="3" s="1"/>
  <c r="I1156" i="3" s="1"/>
  <c r="L119" i="1" s="1"/>
  <c r="L216" i="1" s="1"/>
  <c r="I1292" i="3"/>
  <c r="I1293" i="3" s="1"/>
  <c r="I1294" i="3" s="1"/>
  <c r="L130" i="1" s="1"/>
  <c r="I1266" i="3"/>
  <c r="I1267" i="3" s="1"/>
  <c r="I1268" i="3" s="1"/>
  <c r="L128" i="1" s="1"/>
  <c r="I1343" i="3"/>
  <c r="I1344" i="3" s="1"/>
  <c r="I1345" i="3" s="1"/>
  <c r="L138" i="1" s="1"/>
  <c r="N138" i="1" s="1"/>
  <c r="I1240" i="3"/>
  <c r="I1241" i="3" s="1"/>
  <c r="I1242" i="3" s="1"/>
  <c r="L126" i="1" s="1"/>
  <c r="L223" i="1" s="1"/>
  <c r="I1253" i="3"/>
  <c r="I1254" i="3" s="1"/>
  <c r="I1255" i="3" s="1"/>
  <c r="L127" i="1" s="1"/>
  <c r="L224" i="1" s="1"/>
  <c r="I1279" i="3"/>
  <c r="I1280" i="3" s="1"/>
  <c r="I1281" i="3" s="1"/>
  <c r="L129" i="1" s="1"/>
  <c r="I1227" i="3"/>
  <c r="I1228" i="3" s="1"/>
  <c r="I1229" i="3" s="1"/>
  <c r="L125" i="1" s="1"/>
  <c r="L222" i="1" s="1"/>
  <c r="I1379" i="3"/>
  <c r="I1380" i="3" s="1"/>
  <c r="I1381" i="3" s="1"/>
  <c r="L141" i="1" s="1"/>
  <c r="I1142" i="3"/>
  <c r="I1143" i="3" s="1"/>
  <c r="I1144" i="3" s="1"/>
  <c r="I1321" i="3"/>
  <c r="I1322" i="3" s="1"/>
  <c r="I1323" i="3" s="1"/>
  <c r="L132" i="1" s="1"/>
  <c r="L229" i="1" s="1"/>
  <c r="I1166" i="3"/>
  <c r="I1167" i="3" s="1"/>
  <c r="I1168" i="3" s="1"/>
  <c r="L120" i="1" s="1"/>
  <c r="L217" i="1" s="1"/>
  <c r="I1130" i="3"/>
  <c r="I1131" i="3" s="1"/>
  <c r="I1132" i="3" s="1"/>
  <c r="L117" i="1" s="1"/>
  <c r="L214" i="1" s="1"/>
  <c r="I1190" i="3"/>
  <c r="I1191" i="3" s="1"/>
  <c r="I1192" i="3" s="1"/>
  <c r="L122" i="1" s="1"/>
  <c r="L219" i="1" s="1"/>
  <c r="L134" i="1"/>
  <c r="L133" i="1" l="1"/>
  <c r="L230" i="1" s="1"/>
  <c r="L118" i="1"/>
  <c r="L215" i="1" s="1"/>
  <c r="L227" i="1"/>
  <c r="N130" i="1"/>
  <c r="L226" i="1"/>
  <c r="N129" i="1"/>
  <c r="L225" i="1"/>
  <c r="N128" i="1"/>
  <c r="G1110" i="3"/>
  <c r="F1116" i="3"/>
  <c r="G1116" i="3" s="1"/>
  <c r="F1115" i="3"/>
  <c r="G1115" i="3" s="1"/>
  <c r="F1114" i="3"/>
  <c r="G1114" i="3" s="1"/>
  <c r="F1113" i="3"/>
  <c r="G1113" i="3" s="1"/>
  <c r="G1111" i="3"/>
  <c r="F1089" i="3"/>
  <c r="G1089" i="3" s="1"/>
  <c r="G1098" i="3"/>
  <c r="G1097" i="3"/>
  <c r="G1090" i="3"/>
  <c r="G1082" i="3"/>
  <c r="G1074" i="3"/>
  <c r="G1091" i="3" l="1"/>
  <c r="I1091" i="3" s="1"/>
  <c r="G1117" i="3"/>
  <c r="G1075" i="3"/>
  <c r="I1075" i="3" s="1"/>
  <c r="G1083" i="3"/>
  <c r="I1083" i="3" s="1"/>
  <c r="G1099" i="3"/>
  <c r="I1099" i="3" s="1"/>
  <c r="I1076" i="3" l="1"/>
  <c r="I1077" i="3" s="1"/>
  <c r="I1078" i="3" s="1"/>
  <c r="L109" i="1" s="1"/>
  <c r="I1084" i="3"/>
  <c r="I1085" i="3" s="1"/>
  <c r="I1086" i="3" s="1"/>
  <c r="L110" i="1" s="1"/>
  <c r="I1100" i="3"/>
  <c r="I1101" i="3" s="1"/>
  <c r="I1102" i="3" s="1"/>
  <c r="L112" i="1" s="1"/>
  <c r="N112" i="1" s="1"/>
  <c r="I1092" i="3"/>
  <c r="I1093" i="3" s="1"/>
  <c r="I1094" i="3" s="1"/>
  <c r="L111" i="1" s="1"/>
  <c r="N111" i="1" s="1"/>
  <c r="I1117" i="3"/>
  <c r="I1118" i="3" l="1"/>
  <c r="I1119" i="3" s="1"/>
  <c r="I1120" i="3" s="1"/>
  <c r="L116" i="1" s="1"/>
  <c r="L213" i="1" s="1"/>
  <c r="N110" i="1"/>
  <c r="L209" i="1"/>
  <c r="N109" i="1"/>
  <c r="L208" i="1"/>
  <c r="G1066" i="3"/>
  <c r="G1065" i="3"/>
  <c r="F1058" i="3"/>
  <c r="G1058" i="3" s="1"/>
  <c r="F1057" i="3"/>
  <c r="G1057" i="3" s="1"/>
  <c r="F1056" i="3"/>
  <c r="G1056" i="3" s="1"/>
  <c r="G1055" i="3"/>
  <c r="F1054" i="3"/>
  <c r="G1054" i="3" s="1"/>
  <c r="F1053" i="3"/>
  <c r="G1053" i="3" s="1"/>
  <c r="G1052" i="3"/>
  <c r="G1051" i="3"/>
  <c r="F1050" i="3"/>
  <c r="G1050" i="3" s="1"/>
  <c r="G1049" i="3"/>
  <c r="F1042" i="3"/>
  <c r="G1042" i="3" s="1"/>
  <c r="F1041" i="3"/>
  <c r="G1041" i="3" s="1"/>
  <c r="F1040" i="3"/>
  <c r="G1040" i="3" s="1"/>
  <c r="G1039" i="3"/>
  <c r="F1038" i="3"/>
  <c r="G1038" i="3" s="1"/>
  <c r="F1037" i="3"/>
  <c r="G1037" i="3" s="1"/>
  <c r="G1036" i="3"/>
  <c r="G1035" i="3"/>
  <c r="F1034" i="3"/>
  <c r="G1034" i="3" s="1"/>
  <c r="G1033" i="3"/>
  <c r="F1026" i="3"/>
  <c r="G1026" i="3" s="1"/>
  <c r="F1025" i="3"/>
  <c r="G1025" i="3" s="1"/>
  <c r="F1024" i="3"/>
  <c r="G1024" i="3" s="1"/>
  <c r="G1023" i="3"/>
  <c r="F1022" i="3"/>
  <c r="G1022" i="3" s="1"/>
  <c r="F1021" i="3"/>
  <c r="G1021" i="3" s="1"/>
  <c r="G1020" i="3"/>
  <c r="G1019" i="3"/>
  <c r="F1018" i="3"/>
  <c r="G1018" i="3" s="1"/>
  <c r="G1017" i="3"/>
  <c r="F1010" i="3"/>
  <c r="G1010" i="3" s="1"/>
  <c r="F1009" i="3"/>
  <c r="G1009" i="3" s="1"/>
  <c r="F1008" i="3"/>
  <c r="G1008" i="3" s="1"/>
  <c r="G1007" i="3"/>
  <c r="F1006" i="3"/>
  <c r="G1006" i="3" s="1"/>
  <c r="F1005" i="3"/>
  <c r="G1005" i="3" s="1"/>
  <c r="G1004" i="3"/>
  <c r="G1003" i="3"/>
  <c r="F1002" i="3"/>
  <c r="G1002" i="3" s="1"/>
  <c r="G1001" i="3"/>
  <c r="F994" i="3"/>
  <c r="G994" i="3" s="1"/>
  <c r="F993" i="3"/>
  <c r="G993" i="3" s="1"/>
  <c r="F992" i="3"/>
  <c r="G992" i="3" s="1"/>
  <c r="G991" i="3"/>
  <c r="F990" i="3"/>
  <c r="G990" i="3" s="1"/>
  <c r="F989" i="3"/>
  <c r="G989" i="3" s="1"/>
  <c r="G988" i="3"/>
  <c r="G987" i="3"/>
  <c r="F986" i="3"/>
  <c r="G986" i="3" s="1"/>
  <c r="G985" i="3"/>
  <c r="F978" i="3"/>
  <c r="G978" i="3" s="1"/>
  <c r="F977" i="3"/>
  <c r="G977" i="3" s="1"/>
  <c r="F976" i="3"/>
  <c r="G976" i="3" s="1"/>
  <c r="G975" i="3"/>
  <c r="F974" i="3"/>
  <c r="G974" i="3" s="1"/>
  <c r="F973" i="3"/>
  <c r="G973" i="3" s="1"/>
  <c r="G972" i="3"/>
  <c r="G971" i="3"/>
  <c r="F970" i="3"/>
  <c r="G970" i="3" s="1"/>
  <c r="G969" i="3"/>
  <c r="F962" i="3"/>
  <c r="G962" i="3" s="1"/>
  <c r="F961" i="3"/>
  <c r="G961" i="3" s="1"/>
  <c r="F960" i="3"/>
  <c r="G960" i="3" s="1"/>
  <c r="G959" i="3"/>
  <c r="F958" i="3"/>
  <c r="G958" i="3" s="1"/>
  <c r="F957" i="3"/>
  <c r="G957" i="3" s="1"/>
  <c r="G956" i="3"/>
  <c r="G955" i="3"/>
  <c r="F954" i="3"/>
  <c r="G954" i="3" s="1"/>
  <c r="G953" i="3"/>
  <c r="F946" i="3"/>
  <c r="G946" i="3" s="1"/>
  <c r="F945" i="3"/>
  <c r="G945" i="3" s="1"/>
  <c r="F944" i="3"/>
  <c r="G944" i="3" s="1"/>
  <c r="G943" i="3"/>
  <c r="F942" i="3"/>
  <c r="G942" i="3" s="1"/>
  <c r="F941" i="3"/>
  <c r="G941" i="3" s="1"/>
  <c r="G940" i="3"/>
  <c r="G939" i="3"/>
  <c r="F938" i="3"/>
  <c r="G938" i="3" s="1"/>
  <c r="G937" i="3"/>
  <c r="G936" i="3"/>
  <c r="F929" i="3"/>
  <c r="G929" i="3" s="1"/>
  <c r="F928" i="3"/>
  <c r="G928" i="3" s="1"/>
  <c r="F927" i="3"/>
  <c r="G927" i="3" s="1"/>
  <c r="G926" i="3"/>
  <c r="F925" i="3"/>
  <c r="G925" i="3" s="1"/>
  <c r="F924" i="3"/>
  <c r="G924" i="3" s="1"/>
  <c r="G923" i="3"/>
  <c r="G922" i="3"/>
  <c r="F921" i="3"/>
  <c r="G921" i="3" s="1"/>
  <c r="G920" i="3"/>
  <c r="G919" i="3"/>
  <c r="F912" i="3"/>
  <c r="G912" i="3" s="1"/>
  <c r="F911" i="3"/>
  <c r="G911" i="3" s="1"/>
  <c r="F910" i="3"/>
  <c r="G910" i="3" s="1"/>
  <c r="G909" i="3"/>
  <c r="F908" i="3"/>
  <c r="G908" i="3" s="1"/>
  <c r="F907" i="3"/>
  <c r="G907" i="3" s="1"/>
  <c r="G906" i="3"/>
  <c r="G905" i="3"/>
  <c r="F904" i="3"/>
  <c r="G904" i="3" s="1"/>
  <c r="G903" i="3"/>
  <c r="G902" i="3"/>
  <c r="F895" i="3"/>
  <c r="G895" i="3" s="1"/>
  <c r="F894" i="3"/>
  <c r="G894" i="3" s="1"/>
  <c r="F893" i="3"/>
  <c r="G893" i="3" s="1"/>
  <c r="G892" i="3"/>
  <c r="F891" i="3"/>
  <c r="G891" i="3" s="1"/>
  <c r="F890" i="3"/>
  <c r="G890" i="3" s="1"/>
  <c r="G889" i="3"/>
  <c r="G888" i="3"/>
  <c r="F887" i="3"/>
  <c r="G887" i="3" s="1"/>
  <c r="G886" i="3"/>
  <c r="G885" i="3"/>
  <c r="F878" i="3"/>
  <c r="G878" i="3" s="1"/>
  <c r="F877" i="3"/>
  <c r="G877" i="3" s="1"/>
  <c r="F876" i="3"/>
  <c r="G876" i="3" s="1"/>
  <c r="G875" i="3"/>
  <c r="F874" i="3"/>
  <c r="G874" i="3" s="1"/>
  <c r="F873" i="3"/>
  <c r="G873" i="3" s="1"/>
  <c r="G872" i="3"/>
  <c r="G871" i="3"/>
  <c r="F870" i="3"/>
  <c r="G870" i="3" s="1"/>
  <c r="G869" i="3"/>
  <c r="G868" i="3"/>
  <c r="F857" i="3"/>
  <c r="G857" i="3" s="1"/>
  <c r="F856" i="3"/>
  <c r="G856" i="3" s="1"/>
  <c r="F853" i="3"/>
  <c r="G853" i="3" s="1"/>
  <c r="F861" i="3"/>
  <c r="G861" i="3" s="1"/>
  <c r="F860" i="3"/>
  <c r="G860" i="3" s="1"/>
  <c r="F859" i="3"/>
  <c r="G859" i="3" s="1"/>
  <c r="G858" i="3"/>
  <c r="G855" i="3"/>
  <c r="G854" i="3"/>
  <c r="G852" i="3"/>
  <c r="G851" i="3"/>
  <c r="F835" i="3"/>
  <c r="G835" i="3" s="1"/>
  <c r="F834" i="3"/>
  <c r="G834" i="3" s="1"/>
  <c r="F839" i="3"/>
  <c r="G839" i="3" s="1"/>
  <c r="F838" i="3"/>
  <c r="G838" i="3" s="1"/>
  <c r="F837" i="3"/>
  <c r="G837" i="3" s="1"/>
  <c r="F836" i="3"/>
  <c r="G836" i="3" s="1"/>
  <c r="F822" i="3"/>
  <c r="G822" i="3" s="1"/>
  <c r="F821" i="3"/>
  <c r="G821" i="3" s="1"/>
  <c r="F820" i="3"/>
  <c r="G820" i="3" s="1"/>
  <c r="F819" i="3"/>
  <c r="G819" i="3" s="1"/>
  <c r="F818" i="3"/>
  <c r="G818" i="3" s="1"/>
  <c r="F817" i="3"/>
  <c r="F827" i="3"/>
  <c r="G827" i="3" s="1"/>
  <c r="F826" i="3"/>
  <c r="G826" i="3" s="1"/>
  <c r="F825" i="3"/>
  <c r="G825" i="3" s="1"/>
  <c r="F824" i="3"/>
  <c r="G824" i="3" s="1"/>
  <c r="F823" i="3"/>
  <c r="G823" i="3" s="1"/>
  <c r="F806" i="3"/>
  <c r="G806" i="3" s="1"/>
  <c r="F810" i="3"/>
  <c r="G810" i="3" s="1"/>
  <c r="F809" i="3"/>
  <c r="G809" i="3" s="1"/>
  <c r="F808" i="3"/>
  <c r="G808" i="3" s="1"/>
  <c r="F807" i="3"/>
  <c r="G807" i="3" s="1"/>
  <c r="G793" i="3"/>
  <c r="F791" i="3"/>
  <c r="G791" i="3" s="1"/>
  <c r="F792" i="3"/>
  <c r="F805" i="3" s="1"/>
  <c r="F797" i="3"/>
  <c r="G797" i="3" s="1"/>
  <c r="F796" i="3"/>
  <c r="G796" i="3" s="1"/>
  <c r="F795" i="3"/>
  <c r="G795" i="3" s="1"/>
  <c r="F794" i="3"/>
  <c r="G794" i="3" s="1"/>
  <c r="F778" i="3"/>
  <c r="G778" i="3" s="1"/>
  <c r="F777" i="3"/>
  <c r="G777" i="3" s="1"/>
  <c r="F776" i="3"/>
  <c r="G776" i="3" s="1"/>
  <c r="F775" i="3"/>
  <c r="G775" i="3" s="1"/>
  <c r="G774" i="3"/>
  <c r="G773" i="3"/>
  <c r="F766" i="3"/>
  <c r="G766" i="3" s="1"/>
  <c r="F765" i="3"/>
  <c r="G765" i="3" s="1"/>
  <c r="F764" i="3"/>
  <c r="G764" i="3" s="1"/>
  <c r="F763" i="3"/>
  <c r="G763" i="3" s="1"/>
  <c r="G762" i="3"/>
  <c r="G761" i="3"/>
  <c r="F746" i="3"/>
  <c r="G746" i="3" s="1"/>
  <c r="F747" i="3"/>
  <c r="G747" i="3" s="1"/>
  <c r="F748" i="3"/>
  <c r="G748" i="3" s="1"/>
  <c r="F749" i="3"/>
  <c r="G749" i="3" s="1"/>
  <c r="F750" i="3"/>
  <c r="G750" i="3" s="1"/>
  <c r="F751" i="3"/>
  <c r="G751" i="3" s="1"/>
  <c r="F752" i="3"/>
  <c r="G752" i="3" s="1"/>
  <c r="F753" i="3"/>
  <c r="G753" i="3" s="1"/>
  <c r="F754" i="3"/>
  <c r="G754" i="3" s="1"/>
  <c r="F734" i="3"/>
  <c r="G734" i="3" s="1"/>
  <c r="F733" i="3"/>
  <c r="G733" i="3" s="1"/>
  <c r="F732" i="3"/>
  <c r="G732" i="3" s="1"/>
  <c r="F731" i="3"/>
  <c r="G731" i="3" s="1"/>
  <c r="G730" i="3"/>
  <c r="F723" i="3"/>
  <c r="G723" i="3" s="1"/>
  <c r="F722" i="3"/>
  <c r="G722" i="3" s="1"/>
  <c r="F721" i="3"/>
  <c r="G721" i="3" s="1"/>
  <c r="F720" i="3"/>
  <c r="G720" i="3" s="1"/>
  <c r="G719" i="3"/>
  <c r="G718" i="3"/>
  <c r="G717" i="3"/>
  <c r="G716" i="3"/>
  <c r="G715" i="3"/>
  <c r="G714" i="3"/>
  <c r="G707" i="3"/>
  <c r="G706" i="3"/>
  <c r="G705" i="3"/>
  <c r="G704" i="3"/>
  <c r="G703" i="3"/>
  <c r="G702" i="3"/>
  <c r="G701" i="3"/>
  <c r="G700" i="3"/>
  <c r="G699" i="3"/>
  <c r="G698" i="3"/>
  <c r="G697" i="3"/>
  <c r="G690" i="3"/>
  <c r="G689" i="3"/>
  <c r="G688" i="3"/>
  <c r="G687" i="3"/>
  <c r="G686" i="3"/>
  <c r="G685" i="3"/>
  <c r="G684" i="3"/>
  <c r="G683" i="3"/>
  <c r="G682" i="3"/>
  <c r="G681" i="3"/>
  <c r="G680" i="3"/>
  <c r="G590" i="3"/>
  <c r="G589" i="3"/>
  <c r="G588" i="3"/>
  <c r="G587" i="3"/>
  <c r="G586" i="3"/>
  <c r="G585" i="3"/>
  <c r="G584" i="3"/>
  <c r="G583" i="3"/>
  <c r="G582" i="3"/>
  <c r="G581" i="3"/>
  <c r="G580" i="3"/>
  <c r="F573" i="3"/>
  <c r="G573" i="3" s="1"/>
  <c r="F572" i="3"/>
  <c r="G572" i="3" s="1"/>
  <c r="F571" i="3"/>
  <c r="G571" i="3" s="1"/>
  <c r="F570" i="3"/>
  <c r="G570" i="3" s="1"/>
  <c r="G569" i="3"/>
  <c r="G568" i="3"/>
  <c r="G567" i="3"/>
  <c r="G566" i="3"/>
  <c r="G565" i="3"/>
  <c r="G564" i="3"/>
  <c r="F557" i="3"/>
  <c r="G557" i="3" s="1"/>
  <c r="F556" i="3"/>
  <c r="G556" i="3" s="1"/>
  <c r="F555" i="3"/>
  <c r="G555" i="3" s="1"/>
  <c r="F554" i="3"/>
  <c r="G554" i="3" s="1"/>
  <c r="G553" i="3"/>
  <c r="G552" i="3"/>
  <c r="G551" i="3"/>
  <c r="G550" i="3"/>
  <c r="G549" i="3"/>
  <c r="G548" i="3"/>
  <c r="G547" i="3"/>
  <c r="G546" i="3"/>
  <c r="F539" i="3"/>
  <c r="G539" i="3" s="1"/>
  <c r="F538" i="3"/>
  <c r="G538" i="3" s="1"/>
  <c r="F537" i="3"/>
  <c r="G537" i="3" s="1"/>
  <c r="F536" i="3"/>
  <c r="G536" i="3" s="1"/>
  <c r="G535" i="3"/>
  <c r="G534" i="3"/>
  <c r="G533" i="3"/>
  <c r="G532" i="3"/>
  <c r="F525" i="3"/>
  <c r="G525" i="3" s="1"/>
  <c r="F523" i="3"/>
  <c r="G523" i="3" s="1"/>
  <c r="F524" i="3"/>
  <c r="G524" i="3" s="1"/>
  <c r="F522" i="3"/>
  <c r="G522" i="3" s="1"/>
  <c r="G521" i="3"/>
  <c r="G520" i="3"/>
  <c r="G519" i="3"/>
  <c r="G518" i="3"/>
  <c r="G517" i="3"/>
  <c r="G516" i="3"/>
  <c r="G515" i="3"/>
  <c r="G506" i="3"/>
  <c r="G507" i="3"/>
  <c r="G505" i="3"/>
  <c r="G502" i="3"/>
  <c r="G498" i="3"/>
  <c r="G499" i="3"/>
  <c r="G500" i="3"/>
  <c r="G501" i="3"/>
  <c r="G503" i="3"/>
  <c r="G504" i="3"/>
  <c r="G497" i="3"/>
  <c r="F478" i="3"/>
  <c r="G478" i="3" s="1"/>
  <c r="F485" i="3"/>
  <c r="G485" i="3" s="1"/>
  <c r="F484" i="3"/>
  <c r="G484" i="3" s="1"/>
  <c r="F483" i="3"/>
  <c r="G483" i="3" s="1"/>
  <c r="F482" i="3"/>
  <c r="G482" i="3" s="1"/>
  <c r="F471" i="3"/>
  <c r="G471" i="3" s="1"/>
  <c r="F470" i="3"/>
  <c r="G470" i="3" s="1"/>
  <c r="F469" i="3"/>
  <c r="G469" i="3" s="1"/>
  <c r="F468" i="3"/>
  <c r="G468" i="3" s="1"/>
  <c r="F439" i="3"/>
  <c r="F467" i="3" s="1"/>
  <c r="F436" i="3"/>
  <c r="G436" i="3" s="1"/>
  <c r="F450" i="3"/>
  <c r="G450" i="3" s="1"/>
  <c r="F437" i="3"/>
  <c r="G437" i="3" s="1"/>
  <c r="F457" i="3"/>
  <c r="G457" i="3" s="1"/>
  <c r="F456" i="3"/>
  <c r="G456" i="3" s="1"/>
  <c r="F455" i="3"/>
  <c r="G455" i="3" s="1"/>
  <c r="F454" i="3"/>
  <c r="G454" i="3" s="1"/>
  <c r="F438" i="3"/>
  <c r="F452" i="3" s="1"/>
  <c r="F443" i="3"/>
  <c r="G443" i="3" s="1"/>
  <c r="F442" i="3"/>
  <c r="G442" i="3" s="1"/>
  <c r="F441" i="3"/>
  <c r="G441" i="3" s="1"/>
  <c r="F440" i="3"/>
  <c r="G440" i="3" s="1"/>
  <c r="F378" i="3"/>
  <c r="G378" i="3" s="1"/>
  <c r="F377" i="3"/>
  <c r="G377" i="3" s="1"/>
  <c r="F369" i="3"/>
  <c r="G369" i="3" s="1"/>
  <c r="F368" i="3"/>
  <c r="G368" i="3" s="1"/>
  <c r="F367" i="3"/>
  <c r="G367" i="3" s="1"/>
  <c r="F366" i="3"/>
  <c r="G366" i="3" s="1"/>
  <c r="F334" i="3"/>
  <c r="F349" i="3" s="1"/>
  <c r="F333" i="3"/>
  <c r="F348" i="3" s="1"/>
  <c r="F332" i="3"/>
  <c r="F347" i="3" s="1"/>
  <c r="F353" i="3"/>
  <c r="G353" i="3" s="1"/>
  <c r="F352" i="3"/>
  <c r="G352" i="3" s="1"/>
  <c r="F351" i="3"/>
  <c r="G351" i="3" s="1"/>
  <c r="F350" i="3"/>
  <c r="G350" i="3" s="1"/>
  <c r="F286" i="3"/>
  <c r="G286" i="3" s="1"/>
  <c r="F331" i="3"/>
  <c r="F346" i="3" s="1"/>
  <c r="G346" i="3" s="1"/>
  <c r="F301" i="3"/>
  <c r="G301" i="3" s="1"/>
  <c r="F316" i="3"/>
  <c r="G316" i="3" s="1"/>
  <c r="F338" i="3"/>
  <c r="G338" i="3" s="1"/>
  <c r="F337" i="3"/>
  <c r="G337" i="3" s="1"/>
  <c r="F336" i="3"/>
  <c r="G336" i="3" s="1"/>
  <c r="F335" i="3"/>
  <c r="G335" i="3" s="1"/>
  <c r="F319" i="3"/>
  <c r="G319" i="3" s="1"/>
  <c r="F318" i="3"/>
  <c r="G318" i="3" s="1"/>
  <c r="F317" i="3"/>
  <c r="G317" i="3" s="1"/>
  <c r="F323" i="3"/>
  <c r="G323" i="3" s="1"/>
  <c r="F322" i="3"/>
  <c r="G322" i="3" s="1"/>
  <c r="F321" i="3"/>
  <c r="G321" i="3" s="1"/>
  <c r="F320" i="3"/>
  <c r="G320" i="3" s="1"/>
  <c r="F304" i="3"/>
  <c r="G304" i="3" s="1"/>
  <c r="F303" i="3"/>
  <c r="G303" i="3" s="1"/>
  <c r="F302" i="3"/>
  <c r="G302" i="3" s="1"/>
  <c r="F308" i="3"/>
  <c r="G308" i="3" s="1"/>
  <c r="F307" i="3"/>
  <c r="G307" i="3" s="1"/>
  <c r="F306" i="3"/>
  <c r="G306" i="3" s="1"/>
  <c r="F305" i="3"/>
  <c r="G305" i="3" s="1"/>
  <c r="F289" i="3"/>
  <c r="G289" i="3" s="1"/>
  <c r="F288" i="3"/>
  <c r="G288" i="3" s="1"/>
  <c r="F287" i="3"/>
  <c r="G287" i="3" s="1"/>
  <c r="F293" i="3"/>
  <c r="G293" i="3" s="1"/>
  <c r="F292" i="3"/>
  <c r="G292" i="3" s="1"/>
  <c r="F291" i="3"/>
  <c r="G291" i="3" s="1"/>
  <c r="F290" i="3"/>
  <c r="G290" i="3" s="1"/>
  <c r="F234" i="3"/>
  <c r="F248" i="3"/>
  <c r="G1067" i="3" l="1"/>
  <c r="I1067" i="3" s="1"/>
  <c r="G879" i="3"/>
  <c r="G767" i="3"/>
  <c r="G947" i="3"/>
  <c r="G862" i="3"/>
  <c r="G930" i="3"/>
  <c r="G979" i="3"/>
  <c r="G1011" i="3"/>
  <c r="G1043" i="3"/>
  <c r="G779" i="3"/>
  <c r="G913" i="3"/>
  <c r="G840" i="3"/>
  <c r="G896" i="3"/>
  <c r="G963" i="3"/>
  <c r="G995" i="3"/>
  <c r="G1027" i="3"/>
  <c r="G1059" i="3"/>
  <c r="G755" i="3"/>
  <c r="G708" i="3"/>
  <c r="I708" i="3" s="1"/>
  <c r="I709" i="3" s="1"/>
  <c r="G724" i="3"/>
  <c r="G691" i="3"/>
  <c r="G735" i="3"/>
  <c r="I735" i="3" s="1"/>
  <c r="I736" i="3" s="1"/>
  <c r="G540" i="3"/>
  <c r="G558" i="3"/>
  <c r="G574" i="3"/>
  <c r="G526" i="3"/>
  <c r="G591" i="3"/>
  <c r="G324" i="3"/>
  <c r="G309" i="3"/>
  <c r="G294" i="3"/>
  <c r="G508" i="3"/>
  <c r="G334" i="3"/>
  <c r="I1068" i="3"/>
  <c r="G805" i="3"/>
  <c r="G792" i="3"/>
  <c r="G798" i="3" s="1"/>
  <c r="F804" i="3"/>
  <c r="G331" i="3"/>
  <c r="G438" i="3"/>
  <c r="G439" i="3"/>
  <c r="F451" i="3"/>
  <c r="F479" i="3" s="1"/>
  <c r="G479" i="3" s="1"/>
  <c r="F466" i="3"/>
  <c r="G467" i="3"/>
  <c r="G452" i="3"/>
  <c r="F480" i="3"/>
  <c r="G480" i="3" s="1"/>
  <c r="F453" i="3"/>
  <c r="F465" i="3"/>
  <c r="G379" i="3"/>
  <c r="G332" i="3"/>
  <c r="F365" i="3"/>
  <c r="G349" i="3"/>
  <c r="G333" i="3"/>
  <c r="G348" i="3"/>
  <c r="F364" i="3"/>
  <c r="F363" i="3"/>
  <c r="G347" i="3"/>
  <c r="F362" i="3"/>
  <c r="I1027" i="3" l="1"/>
  <c r="G444" i="3"/>
  <c r="I444" i="3" s="1"/>
  <c r="I445" i="3" s="1"/>
  <c r="G354" i="3"/>
  <c r="I354" i="3" s="1"/>
  <c r="I355" i="3" s="1"/>
  <c r="G339" i="3"/>
  <c r="I339" i="3" s="1"/>
  <c r="I340" i="3" s="1"/>
  <c r="I1028" i="3"/>
  <c r="I1029" i="3" s="1"/>
  <c r="I1030" i="3" s="1"/>
  <c r="L105" i="1" s="1"/>
  <c r="I1043" i="3"/>
  <c r="I1044" i="3" s="1"/>
  <c r="I1011" i="3"/>
  <c r="I963" i="3"/>
  <c r="I930" i="3"/>
  <c r="I1059" i="3"/>
  <c r="I724" i="3"/>
  <c r="I725" i="3" s="1"/>
  <c r="I755" i="3"/>
  <c r="I840" i="3"/>
  <c r="I896" i="3"/>
  <c r="I947" i="3"/>
  <c r="I995" i="3"/>
  <c r="I879" i="3"/>
  <c r="I979" i="3"/>
  <c r="I1069" i="3"/>
  <c r="I1070" i="3" s="1"/>
  <c r="I913" i="3"/>
  <c r="I779" i="3"/>
  <c r="I862" i="3"/>
  <c r="I591" i="3"/>
  <c r="G804" i="3"/>
  <c r="G811" i="3" s="1"/>
  <c r="G817" i="3"/>
  <c r="G828" i="3" s="1"/>
  <c r="I798" i="3"/>
  <c r="I767" i="3"/>
  <c r="I558" i="3"/>
  <c r="I559" i="3" s="1"/>
  <c r="I737" i="3"/>
  <c r="I738" i="3" s="1"/>
  <c r="I710" i="3"/>
  <c r="I711" i="3" s="1"/>
  <c r="I691" i="3"/>
  <c r="I692" i="3" s="1"/>
  <c r="I540" i="3"/>
  <c r="I541" i="3" s="1"/>
  <c r="I574" i="3"/>
  <c r="I575" i="3" s="1"/>
  <c r="I324" i="3"/>
  <c r="I325" i="3" s="1"/>
  <c r="I526" i="3"/>
  <c r="I527" i="3" s="1"/>
  <c r="I294" i="3"/>
  <c r="I295" i="3" s="1"/>
  <c r="G466" i="3"/>
  <c r="G451" i="3"/>
  <c r="G453" i="3"/>
  <c r="F481" i="3"/>
  <c r="G481" i="3" s="1"/>
  <c r="G486" i="3" s="1"/>
  <c r="G465" i="3"/>
  <c r="I508" i="3"/>
  <c r="I509" i="3" s="1"/>
  <c r="G362" i="3"/>
  <c r="G365" i="3"/>
  <c r="G364" i="3"/>
  <c r="G363" i="3"/>
  <c r="I309" i="3"/>
  <c r="I310" i="3" s="1"/>
  <c r="F247" i="3"/>
  <c r="G247" i="3" s="1"/>
  <c r="F246" i="3"/>
  <c r="G246" i="3" s="1"/>
  <c r="F251" i="3"/>
  <c r="G251" i="3" s="1"/>
  <c r="F250" i="3"/>
  <c r="G250" i="3" s="1"/>
  <c r="F249" i="3"/>
  <c r="G249" i="3" s="1"/>
  <c r="G248" i="3"/>
  <c r="F235" i="3"/>
  <c r="G235" i="3" s="1"/>
  <c r="G234" i="3"/>
  <c r="F239" i="3"/>
  <c r="G239" i="3" s="1"/>
  <c r="F238" i="3"/>
  <c r="G238" i="3" s="1"/>
  <c r="F237" i="3"/>
  <c r="G237" i="3" s="1"/>
  <c r="F236" i="3"/>
  <c r="G236" i="3" s="1"/>
  <c r="F221" i="3"/>
  <c r="G221" i="3" s="1"/>
  <c r="F223" i="3"/>
  <c r="G223" i="3" s="1"/>
  <c r="F222" i="3"/>
  <c r="G222" i="3" s="1"/>
  <c r="F220" i="3"/>
  <c r="G220" i="3" s="1"/>
  <c r="F225" i="3"/>
  <c r="G225" i="3" s="1"/>
  <c r="F227" i="3"/>
  <c r="G227" i="3" s="1"/>
  <c r="F226" i="3"/>
  <c r="G226" i="3" s="1"/>
  <c r="F224" i="3"/>
  <c r="G224" i="3" s="1"/>
  <c r="F203" i="3"/>
  <c r="G203" i="3" s="1"/>
  <c r="F204" i="3"/>
  <c r="G204" i="3" s="1"/>
  <c r="F208" i="3"/>
  <c r="G208" i="3" s="1"/>
  <c r="F207" i="3"/>
  <c r="G207" i="3" s="1"/>
  <c r="F206" i="3"/>
  <c r="G206" i="3" s="1"/>
  <c r="F205" i="3"/>
  <c r="G205" i="3" s="1"/>
  <c r="F196" i="3"/>
  <c r="F195" i="3"/>
  <c r="F194" i="3"/>
  <c r="F193" i="3"/>
  <c r="F192" i="3"/>
  <c r="F180" i="3"/>
  <c r="G180" i="3" s="1"/>
  <c r="F185" i="3"/>
  <c r="F184" i="3"/>
  <c r="F183" i="3"/>
  <c r="F182" i="3"/>
  <c r="F173" i="3"/>
  <c r="F172" i="3"/>
  <c r="F171" i="3"/>
  <c r="F170" i="3"/>
  <c r="F169" i="3"/>
  <c r="F168" i="3"/>
  <c r="F150" i="3"/>
  <c r="F149" i="3"/>
  <c r="L153" i="3"/>
  <c r="F154" i="3"/>
  <c r="F153" i="3"/>
  <c r="F152" i="3"/>
  <c r="F151" i="3"/>
  <c r="I811" i="3" l="1"/>
  <c r="I812" i="3" s="1"/>
  <c r="I813" i="3" s="1"/>
  <c r="I814" i="3" s="1"/>
  <c r="L90" i="1" s="1"/>
  <c r="L193" i="1" s="1"/>
  <c r="N193" i="1" s="1"/>
  <c r="I828" i="3"/>
  <c r="I829" i="3" s="1"/>
  <c r="I830" i="3" s="1"/>
  <c r="I831" i="3" s="1"/>
  <c r="L91" i="1" s="1"/>
  <c r="L194" i="1" s="1"/>
  <c r="N194" i="1" s="1"/>
  <c r="G209" i="3"/>
  <c r="G228" i="3"/>
  <c r="G240" i="3"/>
  <c r="I486" i="3"/>
  <c r="I487" i="3" s="1"/>
  <c r="G370" i="3"/>
  <c r="I370" i="3" s="1"/>
  <c r="I371" i="3" s="1"/>
  <c r="G252" i="3"/>
  <c r="G458" i="3"/>
  <c r="I1045" i="3"/>
  <c r="I1046" i="3" s="1"/>
  <c r="L106" i="1" s="1"/>
  <c r="I592" i="3"/>
  <c r="I593" i="3" s="1"/>
  <c r="I594" i="3" s="1"/>
  <c r="L74" i="1" s="1"/>
  <c r="N74" i="1" s="1"/>
  <c r="I914" i="3"/>
  <c r="I915" i="3" s="1"/>
  <c r="I916" i="3" s="1"/>
  <c r="L98" i="1" s="1"/>
  <c r="N98" i="1" s="1"/>
  <c r="I880" i="3"/>
  <c r="I881" i="3" s="1"/>
  <c r="I882" i="3" s="1"/>
  <c r="L96" i="1" s="1"/>
  <c r="I841" i="3"/>
  <c r="I842" i="3" s="1"/>
  <c r="I843" i="3" s="1"/>
  <c r="I931" i="3"/>
  <c r="I932" i="3" s="1"/>
  <c r="I933" i="3" s="1"/>
  <c r="L99" i="1" s="1"/>
  <c r="N99" i="1" s="1"/>
  <c r="I768" i="3"/>
  <c r="I769" i="3" s="1"/>
  <c r="I770" i="3" s="1"/>
  <c r="L84" i="1" s="1"/>
  <c r="I996" i="3"/>
  <c r="I997" i="3" s="1"/>
  <c r="I998" i="3" s="1"/>
  <c r="L103" i="1" s="1"/>
  <c r="I756" i="3"/>
  <c r="I757" i="3" s="1"/>
  <c r="I758" i="3" s="1"/>
  <c r="L83" i="1" s="1"/>
  <c r="I863" i="3"/>
  <c r="I864" i="3" s="1"/>
  <c r="I865" i="3" s="1"/>
  <c r="L95" i="1" s="1"/>
  <c r="I948" i="3"/>
  <c r="I949" i="3" s="1"/>
  <c r="I950" i="3" s="1"/>
  <c r="L100" i="1" s="1"/>
  <c r="I964" i="3"/>
  <c r="I965" i="3" s="1"/>
  <c r="I966" i="3" s="1"/>
  <c r="L101" i="1" s="1"/>
  <c r="I780" i="3"/>
  <c r="I781" i="3" s="1"/>
  <c r="I782" i="3" s="1"/>
  <c r="L85" i="1" s="1"/>
  <c r="N85" i="1" s="1"/>
  <c r="I980" i="3"/>
  <c r="I981" i="3" s="1"/>
  <c r="I982" i="3" s="1"/>
  <c r="L102" i="1" s="1"/>
  <c r="I897" i="3"/>
  <c r="I898" i="3" s="1"/>
  <c r="I899" i="3" s="1"/>
  <c r="L97" i="1" s="1"/>
  <c r="N97" i="1" s="1"/>
  <c r="I1060" i="3"/>
  <c r="I1061" i="3" s="1"/>
  <c r="I1062" i="3" s="1"/>
  <c r="L107" i="1" s="1"/>
  <c r="I1012" i="3"/>
  <c r="I1013" i="3" s="1"/>
  <c r="I1014" i="3" s="1"/>
  <c r="L104" i="1" s="1"/>
  <c r="I799" i="3"/>
  <c r="I800" i="3" s="1"/>
  <c r="I801" i="3" s="1"/>
  <c r="L89" i="1" s="1"/>
  <c r="L192" i="1" s="1"/>
  <c r="N192" i="1" s="1"/>
  <c r="N105" i="1"/>
  <c r="L204" i="1"/>
  <c r="L108" i="1"/>
  <c r="L77" i="1"/>
  <c r="L79" i="1"/>
  <c r="N79" i="1" s="1"/>
  <c r="I726" i="3"/>
  <c r="I727" i="3" s="1"/>
  <c r="I341" i="3"/>
  <c r="I342" i="3" s="1"/>
  <c r="I528" i="3"/>
  <c r="I529" i="3" s="1"/>
  <c r="I446" i="3"/>
  <c r="I447" i="3" s="1"/>
  <c r="I296" i="3"/>
  <c r="I297" i="3" s="1"/>
  <c r="I356" i="3"/>
  <c r="I357" i="3" s="1"/>
  <c r="I326" i="3"/>
  <c r="I327" i="3" s="1"/>
  <c r="I693" i="3"/>
  <c r="I694" i="3" s="1"/>
  <c r="I542" i="3"/>
  <c r="I543" i="3" s="1"/>
  <c r="I311" i="3"/>
  <c r="I312" i="3" s="1"/>
  <c r="I576" i="3"/>
  <c r="I577" i="3" s="1"/>
  <c r="I560" i="3"/>
  <c r="I561" i="3" s="1"/>
  <c r="I458" i="3"/>
  <c r="I459" i="3" s="1"/>
  <c r="I510" i="3"/>
  <c r="I511" i="3" s="1"/>
  <c r="I379" i="3"/>
  <c r="I380" i="3" s="1"/>
  <c r="I281" i="3"/>
  <c r="I282" i="3" s="1"/>
  <c r="I488" i="3" l="1"/>
  <c r="I489" i="3" s="1"/>
  <c r="L181" i="1"/>
  <c r="N181" i="1" s="1"/>
  <c r="N83" i="1"/>
  <c r="L182" i="1"/>
  <c r="N182" i="1" s="1"/>
  <c r="N84" i="1"/>
  <c r="N107" i="1"/>
  <c r="L206" i="1"/>
  <c r="N102" i="1"/>
  <c r="L201" i="1"/>
  <c r="N101" i="1"/>
  <c r="L200" i="1"/>
  <c r="N106" i="1"/>
  <c r="L205" i="1"/>
  <c r="N108" i="1"/>
  <c r="L207" i="1"/>
  <c r="N95" i="1"/>
  <c r="L197" i="1"/>
  <c r="N100" i="1"/>
  <c r="L199" i="1"/>
  <c r="N96" i="1"/>
  <c r="L198" i="1"/>
  <c r="N104" i="1"/>
  <c r="L203" i="1"/>
  <c r="N103" i="1"/>
  <c r="L202" i="1"/>
  <c r="N77" i="1"/>
  <c r="L174" i="1"/>
  <c r="L177" i="1" s="1"/>
  <c r="L69" i="1"/>
  <c r="N69" i="1" s="1"/>
  <c r="L76" i="1"/>
  <c r="N76" i="1" s="1"/>
  <c r="L73" i="1"/>
  <c r="L75" i="1"/>
  <c r="N75" i="1" s="1"/>
  <c r="L78" i="1"/>
  <c r="N78" i="1" s="1"/>
  <c r="L62" i="1"/>
  <c r="L45" i="1"/>
  <c r="N45" i="1" s="1"/>
  <c r="L57" i="1"/>
  <c r="L64" i="1"/>
  <c r="L42" i="1"/>
  <c r="N42" i="1" s="1"/>
  <c r="L44" i="1"/>
  <c r="N44" i="1" s="1"/>
  <c r="L70" i="1"/>
  <c r="N70" i="1" s="1"/>
  <c r="L72" i="1"/>
  <c r="N72" i="1" s="1"/>
  <c r="L71" i="1"/>
  <c r="N71" i="1" s="1"/>
  <c r="L43" i="1"/>
  <c r="N43" i="1" s="1"/>
  <c r="L46" i="1"/>
  <c r="N46" i="1" s="1"/>
  <c r="I372" i="3"/>
  <c r="I373" i="3" s="1"/>
  <c r="I381" i="3"/>
  <c r="I382" i="3" s="1"/>
  <c r="I460" i="3"/>
  <c r="I461" i="3" s="1"/>
  <c r="I252" i="3"/>
  <c r="I253" i="3" s="1"/>
  <c r="I240" i="3"/>
  <c r="I241" i="3" s="1"/>
  <c r="I209" i="3"/>
  <c r="I210" i="3" s="1"/>
  <c r="I228" i="3"/>
  <c r="I229" i="3" s="1"/>
  <c r="L168" i="1" l="1"/>
  <c r="N168" i="1" s="1"/>
  <c r="N62" i="1"/>
  <c r="L163" i="1"/>
  <c r="N163" i="1" s="1"/>
  <c r="N57" i="1"/>
  <c r="N73" i="1"/>
  <c r="L173" i="1"/>
  <c r="L58" i="1"/>
  <c r="N58" i="1" s="1"/>
  <c r="L52" i="1"/>
  <c r="N52" i="1" s="1"/>
  <c r="I230" i="3"/>
  <c r="I231" i="3" s="1"/>
  <c r="I211" i="3"/>
  <c r="I212" i="3" s="1"/>
  <c r="I242" i="3"/>
  <c r="I243" i="3" s="1"/>
  <c r="I254" i="3"/>
  <c r="I255" i="3" s="1"/>
  <c r="F141" i="3"/>
  <c r="F140" i="3"/>
  <c r="F139" i="3"/>
  <c r="F138" i="3"/>
  <c r="F137" i="3"/>
  <c r="F136" i="3"/>
  <c r="F135" i="3"/>
  <c r="G135" i="3" s="1"/>
  <c r="F121" i="3"/>
  <c r="G121" i="3" s="1"/>
  <c r="F125" i="3"/>
  <c r="F124" i="3"/>
  <c r="F123" i="3"/>
  <c r="F122" i="3"/>
  <c r="F120" i="3"/>
  <c r="G120" i="3" s="1"/>
  <c r="F119" i="3"/>
  <c r="G119" i="3" s="1"/>
  <c r="L65" i="1" l="1"/>
  <c r="N65" i="1" s="1"/>
  <c r="L164" i="1"/>
  <c r="N164" i="1" s="1"/>
  <c r="L38" i="1"/>
  <c r="L39" i="1"/>
  <c r="N39" i="1" s="1"/>
  <c r="L40" i="1"/>
  <c r="L32" i="1"/>
  <c r="L152" i="1" l="1"/>
  <c r="N152" i="1" s="1"/>
  <c r="N32" i="1"/>
  <c r="N40" i="1"/>
  <c r="L47" i="1"/>
  <c r="N47" i="1" s="1"/>
  <c r="L48" i="1"/>
  <c r="N48" i="1" s="1"/>
  <c r="L50" i="1"/>
  <c r="G105" i="3"/>
  <c r="F106" i="3"/>
  <c r="G106" i="3" s="1"/>
  <c r="F91" i="3"/>
  <c r="F93" i="3" l="1"/>
  <c r="G93" i="3" s="1"/>
  <c r="F92" i="3"/>
  <c r="G92" i="3" s="1"/>
  <c r="G91" i="3"/>
  <c r="F97" i="3"/>
  <c r="G97" i="3" s="1"/>
  <c r="F98" i="3"/>
  <c r="G98" i="3" s="1"/>
  <c r="F96" i="3"/>
  <c r="G96" i="3" s="1"/>
  <c r="F110" i="3"/>
  <c r="G110" i="3" s="1"/>
  <c r="F109" i="3"/>
  <c r="G109" i="3" s="1"/>
  <c r="F108" i="3"/>
  <c r="G108" i="3" s="1"/>
  <c r="F107" i="3"/>
  <c r="G107" i="3" s="1"/>
  <c r="F95" i="3"/>
  <c r="G95" i="3" s="1"/>
  <c r="F94" i="3"/>
  <c r="G94" i="3" s="1"/>
  <c r="G196" i="3"/>
  <c r="G195" i="3"/>
  <c r="G194" i="3"/>
  <c r="G193" i="3"/>
  <c r="G185" i="3"/>
  <c r="G184" i="3"/>
  <c r="G183" i="3"/>
  <c r="G182" i="3"/>
  <c r="G173" i="3"/>
  <c r="G172" i="3"/>
  <c r="G171" i="3"/>
  <c r="G170" i="3"/>
  <c r="G169" i="3"/>
  <c r="G154" i="3"/>
  <c r="G153" i="3"/>
  <c r="G152" i="3"/>
  <c r="G151" i="3"/>
  <c r="G150" i="3"/>
  <c r="G149" i="3"/>
  <c r="G141" i="3"/>
  <c r="G140" i="3"/>
  <c r="G139" i="3"/>
  <c r="G138" i="3"/>
  <c r="G137" i="3"/>
  <c r="G136" i="3"/>
  <c r="G125" i="3"/>
  <c r="G124" i="3"/>
  <c r="G123" i="3"/>
  <c r="G122" i="3"/>
  <c r="G155" i="3" l="1"/>
  <c r="G111" i="3"/>
  <c r="I111" i="3" s="1"/>
  <c r="I112" i="3" s="1"/>
  <c r="G126" i="3"/>
  <c r="I126" i="3" s="1"/>
  <c r="I127" i="3" s="1"/>
  <c r="G142" i="3"/>
  <c r="I142" i="3" s="1"/>
  <c r="I143" i="3" s="1"/>
  <c r="I144" i="3" s="1"/>
  <c r="G99" i="3"/>
  <c r="F181" i="3"/>
  <c r="G181" i="3" s="1"/>
  <c r="G186" i="3" s="1"/>
  <c r="G192" i="3"/>
  <c r="G168" i="3"/>
  <c r="F77" i="3"/>
  <c r="G77" i="3" s="1"/>
  <c r="F59" i="3"/>
  <c r="G59" i="3" s="1"/>
  <c r="F68" i="3"/>
  <c r="G68" i="3" s="1"/>
  <c r="F79" i="3"/>
  <c r="G79" i="3" s="1"/>
  <c r="F78" i="3"/>
  <c r="G78" i="3" s="1"/>
  <c r="F70" i="3"/>
  <c r="G70" i="3" s="1"/>
  <c r="F69" i="3"/>
  <c r="G69" i="3" s="1"/>
  <c r="F61" i="3"/>
  <c r="G61" i="3" s="1"/>
  <c r="F60" i="3"/>
  <c r="G60" i="3" s="1"/>
  <c r="F52" i="3"/>
  <c r="G52" i="3" s="1"/>
  <c r="F51" i="3"/>
  <c r="G51" i="3" s="1"/>
  <c r="F45" i="3"/>
  <c r="G45" i="3" s="1"/>
  <c r="F44" i="3"/>
  <c r="G44" i="3" s="1"/>
  <c r="F37" i="3"/>
  <c r="G37" i="3" s="1"/>
  <c r="F36" i="3"/>
  <c r="G36" i="3" s="1"/>
  <c r="G38" i="3" l="1"/>
  <c r="I38" i="3" s="1"/>
  <c r="I39" i="3" s="1"/>
  <c r="G53" i="3"/>
  <c r="I53" i="3" s="1"/>
  <c r="I54" i="3" s="1"/>
  <c r="G46" i="3"/>
  <c r="I46" i="3" s="1"/>
  <c r="I47" i="3" s="1"/>
  <c r="G80" i="3"/>
  <c r="G174" i="3"/>
  <c r="G71" i="3"/>
  <c r="G197" i="3"/>
  <c r="G62" i="3"/>
  <c r="I186" i="3"/>
  <c r="I187" i="3" s="1"/>
  <c r="I155" i="3"/>
  <c r="I156" i="3" s="1"/>
  <c r="I128" i="3"/>
  <c r="I129" i="3" s="1"/>
  <c r="I113" i="3"/>
  <c r="I114" i="3" s="1"/>
  <c r="I99" i="3"/>
  <c r="I100" i="3" s="1"/>
  <c r="I62" i="3" l="1"/>
  <c r="I63" i="3" s="1"/>
  <c r="I71" i="3"/>
  <c r="I72" i="3" s="1"/>
  <c r="I80" i="3"/>
  <c r="I81" i="3" s="1"/>
  <c r="I197" i="3"/>
  <c r="I198" i="3" s="1"/>
  <c r="I174" i="3"/>
  <c r="L24" i="1"/>
  <c r="L25" i="1"/>
  <c r="L146" i="1" s="1"/>
  <c r="N146" i="1" s="1"/>
  <c r="I145" i="3"/>
  <c r="I188" i="3"/>
  <c r="I189" i="3" s="1"/>
  <c r="I157" i="3"/>
  <c r="I158" i="3" s="1"/>
  <c r="I101" i="3"/>
  <c r="I102" i="3" s="1"/>
  <c r="I40" i="3"/>
  <c r="I41" i="3" s="1"/>
  <c r="I48" i="3"/>
  <c r="I49" i="3" s="1"/>
  <c r="F19" i="3"/>
  <c r="G19" i="3" s="1"/>
  <c r="G18" i="3"/>
  <c r="F21" i="3"/>
  <c r="G21" i="3" s="1"/>
  <c r="F20" i="3"/>
  <c r="G20" i="3" s="1"/>
  <c r="E502" i="4"/>
  <c r="E483" i="4"/>
  <c r="E468" i="4"/>
  <c r="A463" i="4"/>
  <c r="A464" i="4" s="1"/>
  <c r="A465" i="4" s="1"/>
  <c r="A466" i="4" s="1"/>
  <c r="A467" i="4" s="1"/>
  <c r="A468" i="4" s="1"/>
  <c r="A469" i="4" s="1"/>
  <c r="E459" i="4"/>
  <c r="E458" i="4"/>
  <c r="F464" i="3" s="1"/>
  <c r="G464" i="3" s="1"/>
  <c r="E457" i="4"/>
  <c r="E456" i="4"/>
  <c r="E455" i="4"/>
  <c r="E454" i="4"/>
  <c r="E453" i="4"/>
  <c r="E452" i="4"/>
  <c r="E451" i="4"/>
  <c r="E450" i="4"/>
  <c r="E449" i="4"/>
  <c r="E448" i="4"/>
  <c r="E447" i="4"/>
  <c r="E446" i="4"/>
  <c r="E442" i="4"/>
  <c r="E441" i="4"/>
  <c r="E438" i="4"/>
  <c r="E437" i="4"/>
  <c r="E436" i="4"/>
  <c r="E434" i="4"/>
  <c r="E431" i="4"/>
  <c r="A424" i="4"/>
  <c r="A425" i="4" s="1"/>
  <c r="A426" i="4" s="1"/>
  <c r="A427" i="4" s="1"/>
  <c r="A428" i="4" s="1"/>
  <c r="A429" i="4" s="1"/>
  <c r="A430" i="4" s="1"/>
  <c r="A411" i="4"/>
  <c r="A412" i="4" s="1"/>
  <c r="A413" i="4" s="1"/>
  <c r="A414" i="4" s="1"/>
  <c r="A415" i="4" s="1"/>
  <c r="A416" i="4" s="1"/>
  <c r="A417" i="4" s="1"/>
  <c r="A418" i="4" s="1"/>
  <c r="A419" i="4" s="1"/>
  <c r="A420" i="4" s="1"/>
  <c r="F22" i="3"/>
  <c r="G22" i="3" s="1"/>
  <c r="F23" i="3"/>
  <c r="G23" i="3" s="1"/>
  <c r="F24" i="3"/>
  <c r="G24" i="3" s="1"/>
  <c r="C2" i="3"/>
  <c r="C3" i="3"/>
  <c r="C1" i="3"/>
  <c r="A2" i="3"/>
  <c r="A3" i="3"/>
  <c r="A1" i="3"/>
  <c r="F11" i="3"/>
  <c r="G11" i="3" s="1"/>
  <c r="I73" i="3" l="1"/>
  <c r="I74" i="3" s="1"/>
  <c r="I82" i="3"/>
  <c r="I83" i="3" s="1"/>
  <c r="L19" i="1" s="1"/>
  <c r="N19" i="1" s="1"/>
  <c r="I64" i="3"/>
  <c r="I65" i="3" s="1"/>
  <c r="I199" i="3"/>
  <c r="I200" i="3" s="1"/>
  <c r="L33" i="1" s="1"/>
  <c r="L153" i="1" s="1"/>
  <c r="N153" i="1" s="1"/>
  <c r="I175" i="3"/>
  <c r="I176" i="3" s="1"/>
  <c r="I177" i="3" s="1"/>
  <c r="L31" i="1" s="1"/>
  <c r="L151" i="1" s="1"/>
  <c r="N151" i="1" s="1"/>
  <c r="G12" i="3"/>
  <c r="I12" i="3" s="1"/>
  <c r="I13" i="3" s="1"/>
  <c r="G472" i="3"/>
  <c r="I472" i="3" s="1"/>
  <c r="I473" i="3" s="1"/>
  <c r="I474" i="3" s="1"/>
  <c r="I475" i="3" s="1"/>
  <c r="G25" i="3"/>
  <c r="I25" i="3" s="1"/>
  <c r="L17" i="1"/>
  <c r="L27" i="1"/>
  <c r="L23" i="1"/>
  <c r="L16" i="1"/>
  <c r="L56" i="1"/>
  <c r="L162" i="1" s="1"/>
  <c r="N162" i="1" s="1"/>
  <c r="L26" i="1"/>
  <c r="I55" i="3"/>
  <c r="I56" i="3" s="1"/>
  <c r="A432" i="4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31" i="4"/>
  <c r="L61" i="1" l="1"/>
  <c r="L167" i="1" s="1"/>
  <c r="N167" i="1" s="1"/>
  <c r="L60" i="1"/>
  <c r="L166" i="1" s="1"/>
  <c r="N166" i="1" s="1"/>
  <c r="L147" i="1"/>
  <c r="N147" i="1" s="1"/>
  <c r="N148" i="1" s="1"/>
  <c r="E22" i="2" s="1"/>
  <c r="N26" i="1"/>
  <c r="L18" i="1"/>
  <c r="I26" i="3"/>
  <c r="I14" i="3"/>
  <c r="I15" i="3" s="1"/>
  <c r="A5" i="2"/>
  <c r="A4" i="2"/>
  <c r="A3" i="2"/>
  <c r="B32" i="2"/>
  <c r="A32" i="2"/>
  <c r="B22" i="2"/>
  <c r="B23" i="2"/>
  <c r="B24" i="2"/>
  <c r="B25" i="2"/>
  <c r="B26" i="2"/>
  <c r="B27" i="2"/>
  <c r="B28" i="2"/>
  <c r="B29" i="2"/>
  <c r="B30" i="2"/>
  <c r="B31" i="2"/>
  <c r="A31" i="2"/>
  <c r="A30" i="2"/>
  <c r="A29" i="2"/>
  <c r="A28" i="2"/>
  <c r="A27" i="2"/>
  <c r="A26" i="2"/>
  <c r="A25" i="2"/>
  <c r="A24" i="2"/>
  <c r="A23" i="2"/>
  <c r="A22" i="2"/>
  <c r="B21" i="2"/>
  <c r="B13" i="2"/>
  <c r="B14" i="2"/>
  <c r="B15" i="2"/>
  <c r="B16" i="2"/>
  <c r="B17" i="2"/>
  <c r="B18" i="2"/>
  <c r="B19" i="2"/>
  <c r="B20" i="2"/>
  <c r="A20" i="2"/>
  <c r="A19" i="2"/>
  <c r="A18" i="2"/>
  <c r="A17" i="2"/>
  <c r="A16" i="2"/>
  <c r="A15" i="2"/>
  <c r="A14" i="2"/>
  <c r="A13" i="2"/>
  <c r="B12" i="2"/>
  <c r="B11" i="2"/>
  <c r="B10" i="2"/>
  <c r="B8" i="2"/>
  <c r="B9" i="2"/>
  <c r="C5" i="2"/>
  <c r="C4" i="2"/>
  <c r="C3" i="2"/>
  <c r="N231" i="1"/>
  <c r="E31" i="2" s="1"/>
  <c r="N210" i="1"/>
  <c r="E30" i="2" s="1"/>
  <c r="N195" i="1"/>
  <c r="E29" i="2" s="1"/>
  <c r="N190" i="1"/>
  <c r="E28" i="2" s="1"/>
  <c r="N183" i="1"/>
  <c r="E27" i="2" s="1"/>
  <c r="N178" i="1"/>
  <c r="E26" i="2" s="1"/>
  <c r="N159" i="1"/>
  <c r="E24" i="2" s="1"/>
  <c r="N154" i="1"/>
  <c r="E23" i="2" s="1"/>
  <c r="N142" i="1"/>
  <c r="E20" i="2" s="1"/>
  <c r="N86" i="1"/>
  <c r="E16" i="2" s="1"/>
  <c r="N234" i="1"/>
  <c r="N134" i="1"/>
  <c r="N132" i="1"/>
  <c r="N131" i="1"/>
  <c r="N169" i="1" l="1"/>
  <c r="E25" i="2" s="1"/>
  <c r="L11" i="1"/>
  <c r="N11" i="1" s="1"/>
  <c r="N135" i="1"/>
  <c r="E19" i="2" s="1"/>
  <c r="I27" i="3"/>
  <c r="I28" i="3" s="1"/>
  <c r="N91" i="1"/>
  <c r="N90" i="1"/>
  <c r="N89" i="1"/>
  <c r="N64" i="1"/>
  <c r="N61" i="1"/>
  <c r="N60" i="1"/>
  <c r="N56" i="1"/>
  <c r="N50" i="1"/>
  <c r="N38" i="1"/>
  <c r="A32" i="1"/>
  <c r="N27" i="1"/>
  <c r="N25" i="1"/>
  <c r="N17" i="1"/>
  <c r="N24" i="1"/>
  <c r="L12" i="1" l="1"/>
  <c r="N12" i="1" s="1"/>
  <c r="N13" i="1" s="1"/>
  <c r="N18" i="1"/>
  <c r="N113" i="1"/>
  <c r="E18" i="2" s="1"/>
  <c r="N92" i="1"/>
  <c r="E17" i="2" s="1"/>
  <c r="N235" i="1"/>
  <c r="E32" i="2" s="1"/>
  <c r="N23" i="1"/>
  <c r="N28" i="1" s="1"/>
  <c r="E11" i="2" s="1"/>
  <c r="E9" i="2" l="1"/>
  <c r="N16" i="1"/>
  <c r="N20" i="1" s="1"/>
  <c r="E10" i="2" s="1"/>
  <c r="N66" i="1"/>
  <c r="N31" i="1"/>
  <c r="N33" i="1"/>
  <c r="N53" i="1"/>
  <c r="N80" i="1"/>
  <c r="E15" i="2" s="1"/>
  <c r="E13" i="2" l="1"/>
  <c r="N34" i="1"/>
  <c r="P13" i="1" s="1"/>
  <c r="P21" i="1" s="1"/>
  <c r="N237" i="1" l="1"/>
  <c r="N238" i="1" s="1"/>
  <c r="N240" i="1" s="1"/>
  <c r="E12" i="2"/>
  <c r="E34" i="2" l="1"/>
  <c r="E35" i="2" s="1"/>
  <c r="E37" i="2" s="1"/>
</calcChain>
</file>

<file path=xl/sharedStrings.xml><?xml version="1.0" encoding="utf-8"?>
<sst xmlns="http://schemas.openxmlformats.org/spreadsheetml/2006/main" count="5397" uniqueCount="1380">
  <si>
    <t>RENCANA ANGGARAN BIAYA</t>
  </si>
  <si>
    <t>PEKERJAAN</t>
  </si>
  <si>
    <t>LUAS</t>
  </si>
  <si>
    <t>No.</t>
  </si>
  <si>
    <t>URAIAN PEKERJAAN</t>
  </si>
  <si>
    <t>JUMLAH</t>
  </si>
  <si>
    <t>PANJANG</t>
  </si>
  <si>
    <t>LEBAR</t>
  </si>
  <si>
    <t>TINGGI</t>
  </si>
  <si>
    <t>VOLUME</t>
  </si>
  <si>
    <t>SATUAN</t>
  </si>
  <si>
    <t>HARGA SATUAN</t>
  </si>
  <si>
    <t>A</t>
  </si>
  <si>
    <t>PEKERJAAN PERSIAPAN</t>
  </si>
  <si>
    <t>m2</t>
  </si>
  <si>
    <t>Rp</t>
  </si>
  <si>
    <t>m'</t>
  </si>
  <si>
    <t>Sub Total A =</t>
  </si>
  <si>
    <t>B</t>
  </si>
  <si>
    <t>PEKERJAAN TANAH</t>
  </si>
  <si>
    <t>m3</t>
  </si>
  <si>
    <t>Urugan Galian Pondasi</t>
  </si>
  <si>
    <t>Sub Total B =</t>
  </si>
  <si>
    <t>C</t>
  </si>
  <si>
    <t>PEKERJAAN PASANGAN</t>
  </si>
  <si>
    <t>bh</t>
  </si>
  <si>
    <t>Sub Total C =</t>
  </si>
  <si>
    <t>D</t>
  </si>
  <si>
    <t>PEKERJAAN PLESTERAN</t>
  </si>
  <si>
    <t>Sub Total D =</t>
  </si>
  <si>
    <t>E</t>
  </si>
  <si>
    <t>F</t>
  </si>
  <si>
    <t>PEKERJAAN BETON</t>
  </si>
  <si>
    <t>m1</t>
  </si>
  <si>
    <t>Sub Total F=</t>
  </si>
  <si>
    <t>G</t>
  </si>
  <si>
    <t>Sub Total G=</t>
  </si>
  <si>
    <t>H</t>
  </si>
  <si>
    <t>kg</t>
  </si>
  <si>
    <t>I</t>
  </si>
  <si>
    <t>PEKERJAAN PLAFOND</t>
  </si>
  <si>
    <t>Sub Total I=</t>
  </si>
  <si>
    <t>J</t>
  </si>
  <si>
    <t>K</t>
  </si>
  <si>
    <t>Sub Total K=</t>
  </si>
  <si>
    <t>L</t>
  </si>
  <si>
    <t>unit</t>
  </si>
  <si>
    <t xml:space="preserve">TOTAL BIAYA </t>
  </si>
  <si>
    <t>DIBULATKAN ( A )</t>
  </si>
  <si>
    <t>LUAS TOTAL BANGUNAN ( B ) m2</t>
  </si>
  <si>
    <t>HARGA PER METER PERSEGI ( A/B )</t>
  </si>
  <si>
    <t>Galian Tanah Biasa</t>
  </si>
  <si>
    <t>Galian Tanah Pondasi Footplate</t>
  </si>
  <si>
    <t>Plesteran Sponeng 1Pc : 2 Ps</t>
  </si>
  <si>
    <t xml:space="preserve">TANGGA </t>
  </si>
  <si>
    <t>PEMBONGKARAN BEKISTING</t>
  </si>
  <si>
    <t xml:space="preserve">Pembongkaran </t>
  </si>
  <si>
    <t xml:space="preserve">PEKERJAAN KERAMIK </t>
  </si>
  <si>
    <t xml:space="preserve">Urug Pasir </t>
  </si>
  <si>
    <t xml:space="preserve">HT1 homogenous tile 600x600 mm </t>
  </si>
  <si>
    <t xml:space="preserve">Pasang Plint Keramik </t>
  </si>
  <si>
    <t xml:space="preserve">KAMAR MANDI </t>
  </si>
  <si>
    <t>HT2 homogenous tile 300x300 mm (KM/WC)</t>
  </si>
  <si>
    <t>TANGGA</t>
  </si>
  <si>
    <t xml:space="preserve">PEKERJAAN KAYU &amp; PINTU JENDELA </t>
  </si>
  <si>
    <t>JA5</t>
  </si>
  <si>
    <t xml:space="preserve">PA2 </t>
  </si>
  <si>
    <t>PA1</t>
  </si>
  <si>
    <t>PA3</t>
  </si>
  <si>
    <t>PAK2</t>
  </si>
  <si>
    <t>JA4</t>
  </si>
  <si>
    <t>PAK1</t>
  </si>
  <si>
    <t>JA1</t>
  </si>
  <si>
    <t>JA3</t>
  </si>
  <si>
    <t>PAK4</t>
  </si>
  <si>
    <t>JAK1</t>
  </si>
  <si>
    <t>PEKERJAAN FINISHING</t>
  </si>
  <si>
    <t xml:space="preserve">PEKERJAAN MEKANIKAL &amp; ELEKTRIKAL </t>
  </si>
  <si>
    <t xml:space="preserve">Pasang spike light </t>
  </si>
  <si>
    <t>Pasang LED Downlight Recessed</t>
  </si>
  <si>
    <t>Pasang Wall Mounted Light Outblow</t>
  </si>
  <si>
    <t>Pasang Wall Recessed</t>
  </si>
  <si>
    <t xml:space="preserve">Pasang LED Strip </t>
  </si>
  <si>
    <t xml:space="preserve">Pemasangan integrated Lighting control </t>
  </si>
  <si>
    <t xml:space="preserve">Pasang Light Switches </t>
  </si>
  <si>
    <t>Pasang Light Switches Double</t>
  </si>
  <si>
    <t xml:space="preserve">Pasang Light Switches Four </t>
  </si>
  <si>
    <t xml:space="preserve">Pasang Light Switches Hotel </t>
  </si>
  <si>
    <t xml:space="preserve">Pasang Light Switches Hotel Double </t>
  </si>
  <si>
    <t xml:space="preserve">Pasang Power Point Wall </t>
  </si>
  <si>
    <t xml:space="preserve">Pasang Power point Wall Double </t>
  </si>
  <si>
    <t xml:space="preserve">Pasang Air con unit </t>
  </si>
  <si>
    <t xml:space="preserve">Pasang Air Con Dutching Celling Inlet/Outlet </t>
  </si>
  <si>
    <t xml:space="preserve">Pasang Air Con Dutching Wall/Cabinet Inlet/Outlet </t>
  </si>
  <si>
    <t>Pemasangan MCB</t>
  </si>
  <si>
    <t>Pasang Listrik PLN 2200 volt</t>
  </si>
  <si>
    <t xml:space="preserve">PEKERJAAN SANITASI </t>
  </si>
  <si>
    <t>WC (water closet)</t>
  </si>
  <si>
    <t>MR (mirror)</t>
  </si>
  <si>
    <t xml:space="preserve">SH (shower head) </t>
  </si>
  <si>
    <t xml:space="preserve">SM (shower mixer) </t>
  </si>
  <si>
    <t>HS (Hand Shower)</t>
  </si>
  <si>
    <t>FW (floor waste)</t>
  </si>
  <si>
    <t>JW (jet waste)</t>
  </si>
  <si>
    <t>PH (paper holder)</t>
  </si>
  <si>
    <t>RH (Rope hook)</t>
  </si>
  <si>
    <t>F (fototx 129 L)</t>
  </si>
  <si>
    <t>WB (toto lw 248jr)</t>
  </si>
  <si>
    <t xml:space="preserve">Memasang closet duduk porselen </t>
  </si>
  <si>
    <t>Memasang pipa PVC tipe AW diameter 3/4"</t>
  </si>
  <si>
    <t>Memasang pipa PVC tipe AW diameter 4"</t>
  </si>
  <si>
    <t>Memasang kran diameter 3/4" atau 1/2"</t>
  </si>
  <si>
    <t xml:space="preserve">Memasang floor drain </t>
  </si>
  <si>
    <t xml:space="preserve">Memasang bak kontrol </t>
  </si>
  <si>
    <t xml:space="preserve">Memasang Shower </t>
  </si>
  <si>
    <t xml:space="preserve">PEKERJAAN TAMAN </t>
  </si>
  <si>
    <t>LANTAI 1</t>
  </si>
  <si>
    <t>LANTAI 2</t>
  </si>
  <si>
    <t xml:space="preserve">PEKERJAAN PASANGAN </t>
  </si>
  <si>
    <t xml:space="preserve">PEKERJAAN PLESTERAN </t>
  </si>
  <si>
    <t xml:space="preserve">PEKERJAAN BETON BERTULANG </t>
  </si>
  <si>
    <t>HT1 homogenous tile 600x600 mm</t>
  </si>
  <si>
    <t>HT3 homogenous tile 600x600 mm (KM/WC)</t>
  </si>
  <si>
    <t>JA2</t>
  </si>
  <si>
    <t>JAK2</t>
  </si>
  <si>
    <t>PAK3</t>
  </si>
  <si>
    <t>JA6</t>
  </si>
  <si>
    <t xml:space="preserve">PEKERJAAN ATAP </t>
  </si>
  <si>
    <t xml:space="preserve">PEKERJAAN FINISHING </t>
  </si>
  <si>
    <t xml:space="preserve">PEKERJAAN LAIN-LAIN </t>
  </si>
  <si>
    <t>Pembersihan Lapangan</t>
  </si>
  <si>
    <t>Pengukuran Dan Pasang Bouwplank</t>
  </si>
  <si>
    <t>Pasir Urug Bawah Pondasi T 10 Cm</t>
  </si>
  <si>
    <t>Pasangan Pondasi Batu Kali 1 Pc : 3 Kp : 10 Ps</t>
  </si>
  <si>
    <t>Pasang Batu Kosong (Aanstamping)</t>
  </si>
  <si>
    <t>Pasangan Batu Bata Tebal 1/2 Bata, 1Pcs : 3 Ps</t>
  </si>
  <si>
    <t>Pasangan Batu Bata Tebal 1/2 Bata, 1Pcs : 5 Ps</t>
  </si>
  <si>
    <t>Pasangan Roster 20/30Cm</t>
  </si>
  <si>
    <t>Plesteran 1 Pc : 8 Ps, Tebal 15 Mm</t>
  </si>
  <si>
    <t>Membuat Beton Dengan Mutu F'C 20Mpa</t>
  </si>
  <si>
    <t>Membuat Kolom 20 X 30 Cm</t>
  </si>
  <si>
    <t xml:space="preserve">Membuat Kolom 20 X 20 Cm </t>
  </si>
  <si>
    <t xml:space="preserve">Membuat Balok Sembunyi 10X10 Cm </t>
  </si>
  <si>
    <t>Membuat Balok 20 X 30 Cm</t>
  </si>
  <si>
    <t xml:space="preserve">Membuat Sloof 15X20 Cm </t>
  </si>
  <si>
    <t xml:space="preserve">Membuat Beton Foot Plat 100X100 Cm </t>
  </si>
  <si>
    <t xml:space="preserve">Rangka Langit-Langit Besi Hollow </t>
  </si>
  <si>
    <t>Langit-Langit Gypsum Board</t>
  </si>
  <si>
    <t xml:space="preserve">Expossed Soffit Slab Beton / Soffit Balok / Soffit Tangga / Intel Soffit </t>
  </si>
  <si>
    <t>Pengecatan Tembok Baru (1Lapis Plamir, 1 Lapis Cat Dasar, 2 Lapis Cat Penutup)</t>
  </si>
  <si>
    <t>Pengecatan Kayu Baru (1 Lapis Plamir, 1 Lapis Cat Dasar, 2 Lapis Cat Penutup)</t>
  </si>
  <si>
    <t xml:space="preserve">Pengecatan Gypsum Board </t>
  </si>
  <si>
    <t xml:space="preserve">Memasang Closet Duduk Porselen </t>
  </si>
  <si>
    <t xml:space="preserve">Memasang Floor Drain </t>
  </si>
  <si>
    <t xml:space="preserve">Memasang Bak Kontrol </t>
  </si>
  <si>
    <t xml:space="preserve">Memasang Biotin 5 Orang </t>
  </si>
  <si>
    <t xml:space="preserve">Menanam Rumput </t>
  </si>
  <si>
    <t xml:space="preserve">Menanam Semak Hias </t>
  </si>
  <si>
    <t xml:space="preserve">Pagar Dinding </t>
  </si>
  <si>
    <t xml:space="preserve">Paving Blok Carport </t>
  </si>
  <si>
    <t>Pasangan Batu Bata Tebal 1/2 Bata, 1 Pc : 3 Ps</t>
  </si>
  <si>
    <t>Pasangan Batu Bata Tebal 1/2 Bata, 1 Pc : 5 Ps</t>
  </si>
  <si>
    <t xml:space="preserve">Plesteran 1 Pc : 8 Ps, Tebal 15Mm </t>
  </si>
  <si>
    <t>Plesteran Sponeng 1 Pc : 2 Ps</t>
  </si>
  <si>
    <t>Membuat Kolom Praktis 15X15 Cm</t>
  </si>
  <si>
    <t>Membuat Ring Balk 15 X 20 Cm</t>
  </si>
  <si>
    <t xml:space="preserve">Rangka-Rangka Langit Besi Hollow </t>
  </si>
  <si>
    <t xml:space="preserve">Langit-Langit Gypsum Board </t>
  </si>
  <si>
    <t xml:space="preserve">Pasang Rangka Atap Baja Ringan </t>
  </si>
  <si>
    <t xml:space="preserve">Pasang Genteng Tanah Liat </t>
  </si>
  <si>
    <t xml:space="preserve">Pasang Bubungan Genteng Paris' </t>
  </si>
  <si>
    <t>Memasang Listplank Grc</t>
  </si>
  <si>
    <t>Pengecatan Tembok Baru (1 Lapis Plamir, 1 Lapis Cat Dasar, 2 Cat Penutup)</t>
  </si>
  <si>
    <t>Pengecatan Kayu Baru (1 Lapis Plamir, 1 Lapis Cat Dasar, 2 Cat Penutup)</t>
  </si>
  <si>
    <t xml:space="preserve">Pengecatan Plafon Gypsum Board </t>
  </si>
  <si>
    <t>Pasang Railing Tangga</t>
  </si>
  <si>
    <t>Sub Total E=</t>
  </si>
  <si>
    <t>Sub Total G =</t>
  </si>
  <si>
    <t>Sub Total H=</t>
  </si>
  <si>
    <t>Sub Total I =</t>
  </si>
  <si>
    <t>Sub Total J=</t>
  </si>
  <si>
    <t>Sub Total L=</t>
  </si>
  <si>
    <t>Sub Total A=</t>
  </si>
  <si>
    <t>Sub Total B=</t>
  </si>
  <si>
    <t>Sub Total C=</t>
  </si>
  <si>
    <t>Sub Total D=</t>
  </si>
  <si>
    <t>Sub Total K =</t>
  </si>
  <si>
    <t>REKAPITULASI</t>
  </si>
  <si>
    <t>SUB TOTAL</t>
  </si>
  <si>
    <t>Rp.</t>
  </si>
  <si>
    <t>JUMLAH TOTAL ANGGARAN</t>
  </si>
  <si>
    <t>DIBULATKAN</t>
  </si>
  <si>
    <t>LUAS BANGUNAN</t>
  </si>
  <si>
    <t>HARGA PER m2 BANGUNAN</t>
  </si>
  <si>
    <t>/m2</t>
  </si>
  <si>
    <t>: RUMAH TINGGAL SEDERHANA 2 LANTAI</t>
  </si>
  <si>
    <t>PEMILIK</t>
  </si>
  <si>
    <t>: BADAN WAKAF UII</t>
  </si>
  <si>
    <t>LOKASI</t>
  </si>
  <si>
    <t>: JALAN KALIURANG KM 14,5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</si>
  <si>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</si>
  <si>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</si>
  <si>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</si>
  <si>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</si>
  <si>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</si>
  <si>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</si>
  <si>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</si>
  <si>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</si>
  <si>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</si>
  <si>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</si>
  <si>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</si>
  <si>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OH </t>
  </si>
  <si>
    <t>DAFTAR SATUAN</t>
  </si>
  <si>
    <t>UPAH</t>
  </si>
  <si>
    <t>NO.</t>
  </si>
  <si>
    <t>URAIAN  TENAGA</t>
  </si>
  <si>
    <t>HARGA SATUAN  (Rp.)</t>
  </si>
  <si>
    <t>Pekerja</t>
  </si>
  <si>
    <t>Tukang Batu</t>
  </si>
  <si>
    <t>Tukang Besi</t>
  </si>
  <si>
    <t>Mandor</t>
  </si>
  <si>
    <t>Operator alat berat</t>
  </si>
  <si>
    <t>Jumlah</t>
  </si>
  <si>
    <t>(1)</t>
  </si>
  <si>
    <t>(2)</t>
  </si>
  <si>
    <t>(3)</t>
  </si>
  <si>
    <t>(5)</t>
  </si>
  <si>
    <t>Membersihkan Lapangan dan Perataan</t>
  </si>
  <si>
    <t>oh</t>
  </si>
  <si>
    <t xml:space="preserve">Overhead &amp; Profit 15% </t>
  </si>
  <si>
    <t>Dibulatkan</t>
  </si>
  <si>
    <t>SNI-2016</t>
  </si>
  <si>
    <t>Pengukuran dan pemasangan bouwplank</t>
  </si>
  <si>
    <t>Kg</t>
  </si>
  <si>
    <t>Paku</t>
  </si>
  <si>
    <t>NO</t>
  </si>
  <si>
    <t>URAIAN</t>
  </si>
  <si>
    <t>SAMPEL</t>
  </si>
  <si>
    <t>(Rp)</t>
  </si>
  <si>
    <t/>
  </si>
  <si>
    <t>MATERIAL TANAH DAN BATUAN</t>
  </si>
  <si>
    <t>Batu kali (quarry)</t>
  </si>
  <si>
    <t>m³</t>
  </si>
  <si>
    <t>Batu kali (quarry - base camp)</t>
  </si>
  <si>
    <t>Batu belah (quarry)</t>
  </si>
  <si>
    <t>Batu belah (quarry - base camp)</t>
  </si>
  <si>
    <t>Batu belah (quarry - lokasi pekerjaan)</t>
  </si>
  <si>
    <t>Batu belah (base camp - lokasi pekerjaan)</t>
  </si>
  <si>
    <t>Pasir beton (quarry)</t>
  </si>
  <si>
    <t>Pasir beton (quarry - base camp)</t>
  </si>
  <si>
    <t>Pasir beton (quarry - lokasi pekerjaan)</t>
  </si>
  <si>
    <t>Pasir beton (base camp - lokasi pekerjaan)</t>
  </si>
  <si>
    <t>Pasir beton</t>
  </si>
  <si>
    <t>Pasir urug (quarry)</t>
  </si>
  <si>
    <t>Pasir urug (quarry - base camp)</t>
  </si>
  <si>
    <t>Pasir urug (quarry - lokasi pekerjaan)</t>
  </si>
  <si>
    <t>Pasir urug (base camp - lokasi pekerjaan)</t>
  </si>
  <si>
    <t>Sirtu (quarry)</t>
  </si>
  <si>
    <t>Sirtu (quarry - base camp)</t>
  </si>
  <si>
    <t>Sirtu (quarry - lokasi pekerjaan)</t>
  </si>
  <si>
    <t>Sirtu (base camp - lokasi pekerjaan)</t>
  </si>
  <si>
    <t>Tanah biasa (quarry)</t>
  </si>
  <si>
    <t>Tanah biasa (quarry - lokasi pekerjaan)</t>
  </si>
  <si>
    <t>Tanah padas (quarry)</t>
  </si>
  <si>
    <t>Tanah padas (quarry - lokasi pekerjaan)</t>
  </si>
  <si>
    <t>Tanah liat (quarry)</t>
  </si>
  <si>
    <t>Tanah liat (quarry-lokasi pekerjaan)</t>
  </si>
  <si>
    <t>Pasir pasang</t>
  </si>
  <si>
    <t>Bata merah 5 x 11 x 22 cm</t>
  </si>
  <si>
    <t>buah</t>
  </si>
  <si>
    <t>Bata merah 5 x 11 x 22 cm (per m3)</t>
  </si>
  <si>
    <t>Batu pecah</t>
  </si>
  <si>
    <t>Batu pecah 1/2</t>
  </si>
  <si>
    <t>Batu pecah 2/3</t>
  </si>
  <si>
    <t>Batu pecah 3/5</t>
  </si>
  <si>
    <t>Batu pecah 5/7</t>
  </si>
  <si>
    <t>Batu paras</t>
  </si>
  <si>
    <t>Batu tempel hitam</t>
  </si>
  <si>
    <t>Koral bulat</t>
  </si>
  <si>
    <t>Batu alam andesit non bakar</t>
  </si>
  <si>
    <t>m²</t>
  </si>
  <si>
    <t>Batu alam andesit bakar</t>
  </si>
  <si>
    <t>Batu candi</t>
  </si>
  <si>
    <t>Batu putih</t>
  </si>
  <si>
    <t>Batu putih breksi</t>
  </si>
  <si>
    <t>Batu sikat</t>
  </si>
  <si>
    <t>MATERIAL KAYU</t>
  </si>
  <si>
    <t>Kayu jati (balok)</t>
  </si>
  <si>
    <t>Kayu jati (papan)</t>
  </si>
  <si>
    <t>Kayu kamper (balok)</t>
  </si>
  <si>
    <t>Kayu kamper (papan)</t>
  </si>
  <si>
    <t>Kayu bengkirai (balok)</t>
  </si>
  <si>
    <t>Kayu bengkirai (papan)</t>
  </si>
  <si>
    <t>Kayu kruing (balok)</t>
  </si>
  <si>
    <t>Kayu kruing (papan)</t>
  </si>
  <si>
    <t>Kayu kelapa</t>
  </si>
  <si>
    <t>Kayu bekisting</t>
  </si>
  <si>
    <t>Kayu perancah</t>
  </si>
  <si>
    <t>Dolken kayu jati Ø 10 cm</t>
  </si>
  <si>
    <t>batang</t>
  </si>
  <si>
    <t>Dolken kayu galam Ø 8-10 cm, pjg 3 m</t>
  </si>
  <si>
    <t>Bambu Ø 6 - 8 cm, pjg 6m</t>
  </si>
  <si>
    <t>Bambu Ø 10 cm panjang 600 cm</t>
  </si>
  <si>
    <t>Bambu cerucuk Ø 10 cm panjang 600 cm</t>
  </si>
  <si>
    <t>Bambu cerucuk Ø 15 cm panjang 600 cm</t>
  </si>
  <si>
    <t>Kayu balok utk bowplank,pagar dan kantor sementara</t>
  </si>
  <si>
    <t>Kayu papan untuk bowplank</t>
  </si>
  <si>
    <t>Kayu bengkirai (balok kaso 5x7)</t>
  </si>
  <si>
    <t>Kayu bengkirai (balok reng 2x3)</t>
  </si>
  <si>
    <t>Kayu bengkirai (balok reng 3x4)</t>
  </si>
  <si>
    <t>Kayu kamper (balok kaso 5x7)</t>
  </si>
  <si>
    <t>Kayu kamper (balok reng 2x3)</t>
  </si>
  <si>
    <t>Kayu kamper (balok reng 3x4)</t>
  </si>
  <si>
    <t>Kayu Sengon (balok)</t>
  </si>
  <si>
    <t>Kayu Sengon (papan)</t>
  </si>
  <si>
    <t>Kayu Meranti (balok)</t>
  </si>
  <si>
    <t>Kayu Meranti (papan)</t>
  </si>
  <si>
    <t>Kayu terentang (bekisting)</t>
  </si>
  <si>
    <t>List kayu profil</t>
  </si>
  <si>
    <t>Teakwood 4 mm (90x220)</t>
  </si>
  <si>
    <t>lembar</t>
  </si>
  <si>
    <t>Teakwood 4 mm (120x240)</t>
  </si>
  <si>
    <t>Teakwood 9 mm (90x210)</t>
  </si>
  <si>
    <t>Plywood 9 mm (120x240)</t>
  </si>
  <si>
    <t>Plywood 12 mm (120x240)</t>
  </si>
  <si>
    <t>Phenol film 12mm</t>
  </si>
  <si>
    <t>Multiplek tebal 18 mm</t>
  </si>
  <si>
    <t>Multiplek tebal 0,9 cm</t>
  </si>
  <si>
    <t>Multiplek tebal 0,6 cm</t>
  </si>
  <si>
    <t>Formika</t>
  </si>
  <si>
    <t>Tripleks t=4mm, 120x240 cm</t>
  </si>
  <si>
    <t>MATERIAL PIPA PVC</t>
  </si>
  <si>
    <t>Pipa PVC tipe AW Ø 1/2" panjang 4 m</t>
  </si>
  <si>
    <t>Pipa PVC tipe AW Ø 3/4" panjang 4 m</t>
  </si>
  <si>
    <t>Pipa PVC tipe AW Ø 1" panjang 4 m</t>
  </si>
  <si>
    <t>Pipa PVC tipe AW Ø 1 1/2" panjang 4 m</t>
  </si>
  <si>
    <t>Pipa PVC tipe AW Ø 2" panjang 4 m</t>
  </si>
  <si>
    <t>Pipa PVC tipe AW Ø 21/2" panjang 4 m</t>
  </si>
  <si>
    <t>Pipa PVC tipe AW Ø 3" panjang 4 m</t>
  </si>
  <si>
    <t>Pipa PVC tipe AW Ø 4" panjang 4 m</t>
  </si>
  <si>
    <t>Pipa PVC tipe D Ø 1 1/4" panjang 4 m</t>
  </si>
  <si>
    <t>Pipa PVC tipe D Ø 1 1/2" panjang 4 m</t>
  </si>
  <si>
    <t>Pipa PVC tipe D Ø 2" panjang 4 m</t>
  </si>
  <si>
    <t>Pipa PVC tipe D Ø 2 1/2" panjang 4 m</t>
  </si>
  <si>
    <t>Pipa PVC tipe D Ø 3" panjang 4 m</t>
  </si>
  <si>
    <t>Pipa PVC tipe D Ø 4" panjang 4 m</t>
  </si>
  <si>
    <t>Pipa PVC tipe D Ø 5" panjang 4 m</t>
  </si>
  <si>
    <t>Pipa PVC tipe D Ø 6" panjang 4 m</t>
  </si>
  <si>
    <t>Pipa PVC tipe D Ø 8" panjang 4 m</t>
  </si>
  <si>
    <t>Pipa PVC tipe D Ø 10" panjang 4 m</t>
  </si>
  <si>
    <t>Pipa PVC tipe D Ø 12" panjang 4 m</t>
  </si>
  <si>
    <t>Pipa PVC tipe D Ø 14" panjang 6 m</t>
  </si>
  <si>
    <t>Pipa PVC tipe D Ø 16" panjang 6 m</t>
  </si>
  <si>
    <t>Pipa PVC tipe D Ø 18" panjang 6 m</t>
  </si>
  <si>
    <t>Pipa PVC tipe D Ø 20" panjang 6 m</t>
  </si>
  <si>
    <t>Pipa PVC tipe D Ø 24" panjang 6 m</t>
  </si>
  <si>
    <t>PVC Ø 1/2" s 10 tekanan nominal 10 bar (1,0 mpa) 4m</t>
  </si>
  <si>
    <t>PVC Ø 3/4" s 10 tekanan nominal 10 bar (1,0 mpa) 4m</t>
  </si>
  <si>
    <t>PVC Ø 1" s 10 tekanan nominal 10 bar (1,0 mpa) 4m</t>
  </si>
  <si>
    <t>PVC Ø 1 1/4" s 10 tekanan nominal 10 bar (1,0 mpa) 4m</t>
  </si>
  <si>
    <t>PVC Ø 1 1/5" s 10 tekanan nominal 10 bar (1,0 mpa) 6m</t>
  </si>
  <si>
    <t>PVC Ø 2" s 12,5 tekanan nominal 10 bar (1,0 mpa) 6m</t>
  </si>
  <si>
    <t>PVC Ø 3" s 12,5 tekanan nominal 10 bar (1,0 mpa) 6m</t>
  </si>
  <si>
    <t>PVC Ø 4" s 12,5 tekanan nominal 10 bar (1,0 mpa) 6m</t>
  </si>
  <si>
    <t>PVC Ø 6" s 12,5 tekanan nominal 10 bar (1,0 mpa) 6m</t>
  </si>
  <si>
    <t>PVC Ø 8" s 12,5 tekanan nominal 10 bar (1,0 mpa) 6m</t>
  </si>
  <si>
    <t>Pipa PVC tipe D Ø 2"</t>
  </si>
  <si>
    <t>Assesoris PVC</t>
  </si>
  <si>
    <t>m¹</t>
  </si>
  <si>
    <t>MATERIAL PIPA GALVANIS</t>
  </si>
  <si>
    <t>Pipa galvanis medium B Ø 1/2" panjang 6 m</t>
  </si>
  <si>
    <t>Pipa galvanis medium B Ø 3/4" panjang 6 m</t>
  </si>
  <si>
    <t>Pipa galvanis medium B Ø 1" panjang 6 m</t>
  </si>
  <si>
    <t>Pipa galvanis medium B Ø 1 1/2" panjang 6 m</t>
  </si>
  <si>
    <t>Pipa galvanis medium B Ø 2" panjang 6 m</t>
  </si>
  <si>
    <t>Pipa galvanis medium B Ø 3" panjang 6 m</t>
  </si>
  <si>
    <t>Pipa galvanis medium B Ø 4" panjang 6 m</t>
  </si>
  <si>
    <t>Pipa galvanis medium B Ø 5" panjang 6 m</t>
  </si>
  <si>
    <t>Pipa galvanis medium B Ø 6" panjang 6 m</t>
  </si>
  <si>
    <t>Pipa galvanis medium B Ø 8" panjang 6 m</t>
  </si>
  <si>
    <t>Pipa galvanis medium A Ø 1/2" panjang 6 m</t>
  </si>
  <si>
    <t>Pipa galvanis medium A Ø 3/4" panjang 6 m</t>
  </si>
  <si>
    <t>Pipa galvanis medium A Ø 1" panjang 6 m</t>
  </si>
  <si>
    <t>Pipa galvanis medium A Ø 1 1/2" panjang 6 m</t>
  </si>
  <si>
    <t>Pipa galvanis medium A Ø 2" panjang 6 m</t>
  </si>
  <si>
    <t>Pipa galvanis medium A Ø 3" panjang 6 m</t>
  </si>
  <si>
    <t>Pipa galvanis medium A Ø 4" panjang 6 m</t>
  </si>
  <si>
    <t>Pipa galvanis medium A Ø 5" panjang 6 m</t>
  </si>
  <si>
    <t>Pipa galvanis medium A Ø 6" panjang 6 m</t>
  </si>
  <si>
    <t>Pipa galvanis medium A Ø 8" panjang 6 m</t>
  </si>
  <si>
    <t>Assesoris galvanis</t>
  </si>
  <si>
    <t>MATERIAL BESI DAN BAJA</t>
  </si>
  <si>
    <t>Baja tulangan polos U-24 atau ulir U-32</t>
  </si>
  <si>
    <t>Baja (ulir) U-39</t>
  </si>
  <si>
    <t>Baja (ulir) U-48</t>
  </si>
  <si>
    <t>Besi profil</t>
  </si>
  <si>
    <t>Besi siku</t>
  </si>
  <si>
    <t>Besi strip</t>
  </si>
  <si>
    <t>Besi plat</t>
  </si>
  <si>
    <t>Besi angkur/mur/baut</t>
  </si>
  <si>
    <t>Besi hollow 50.50.3</t>
  </si>
  <si>
    <t>Jaring Kawat Baja dilas</t>
  </si>
  <si>
    <t>Baja Tahan Karat ( Stainless Steel )</t>
  </si>
  <si>
    <t>Kawat galvanis Ø 3 mm</t>
  </si>
  <si>
    <t>Kawat galvanis Ø 4 mm</t>
  </si>
  <si>
    <t>Kawat galvanis Ø 5 mm</t>
  </si>
  <si>
    <t>Kawat beton</t>
  </si>
  <si>
    <t>Paku sekrup</t>
  </si>
  <si>
    <t>Paku payung</t>
  </si>
  <si>
    <t>Paku pancing 6x23</t>
  </si>
  <si>
    <t>Paku hak panj 15cm</t>
  </si>
  <si>
    <t>Kawat las listrik</t>
  </si>
  <si>
    <t>Kawat nyamuk</t>
  </si>
  <si>
    <t>Saringan pasir</t>
  </si>
  <si>
    <t>Sekrup kait</t>
  </si>
  <si>
    <t>Kawat duri</t>
  </si>
  <si>
    <t>Kawat bronjong</t>
  </si>
  <si>
    <t>Kawat nyamuk nylon</t>
  </si>
  <si>
    <t>Besi lis kaca (1 x 1) cm</t>
  </si>
  <si>
    <t>MATERIAL PAVING</t>
  </si>
  <si>
    <t>Paving block 6 cm abu-abu K-200</t>
  </si>
  <si>
    <t>Paving block 6 cm warna K-200</t>
  </si>
  <si>
    <t>Paving block 6 cm abu-abu K-300</t>
  </si>
  <si>
    <t>Paving block 6 cm warna K-300</t>
  </si>
  <si>
    <t>Paving block 8 cm abu-abu K-300</t>
  </si>
  <si>
    <t>Paving block 8 cm warna K-300</t>
  </si>
  <si>
    <t>Paving block 8 cm abu-abu K-400</t>
  </si>
  <si>
    <t>Paving block 8 cm warna K-400</t>
  </si>
  <si>
    <t>Kanstin K-200, 10x20x50 cm</t>
  </si>
  <si>
    <t>Kerb (13/16x30x50) K-200 tipe A</t>
  </si>
  <si>
    <t>Kerb (18/21x30x50) K-200 tipe B</t>
  </si>
  <si>
    <t>MATERIAL DRAINASE</t>
  </si>
  <si>
    <t>Buis beton Ø 20 cm</t>
  </si>
  <si>
    <t>Buis beton Ø 30 cm</t>
  </si>
  <si>
    <t>Buis beton Ø 40 cm</t>
  </si>
  <si>
    <t>Buis beton Ø 50 cm</t>
  </si>
  <si>
    <t>Buis beton Ø 60 cm</t>
  </si>
  <si>
    <t>Buis beton Ø 70 cm</t>
  </si>
  <si>
    <t>Buis beton Ø 80 cm</t>
  </si>
  <si>
    <t>Buis beton Ø 100 cm</t>
  </si>
  <si>
    <t>Got Normal U-20</t>
  </si>
  <si>
    <t>Got Normal U-30</t>
  </si>
  <si>
    <t>Got Normal U-40</t>
  </si>
  <si>
    <t>Got Normal U-60</t>
  </si>
  <si>
    <t>Got Normal U-80</t>
  </si>
  <si>
    <t>U - Ditch - 20, panjang 1,2 m</t>
  </si>
  <si>
    <t>U - Ditch - 30, panjang 1,2 m</t>
  </si>
  <si>
    <t>U - Ditch - 40, panjang 1,2 m</t>
  </si>
  <si>
    <t>U - Ditch - 50, panjang 1,2 m</t>
  </si>
  <si>
    <t>U - Ditch - 60, panjang 1,2 m</t>
  </si>
  <si>
    <t>U - Ditch - 80, panjang 1,2 m</t>
  </si>
  <si>
    <t>U - Ditch - 100, panjang 1,2 m</t>
  </si>
  <si>
    <t>U - Ditch - 120, panjang 1,2 m</t>
  </si>
  <si>
    <t>U - Ditch - 140, panjang 1,2 m</t>
  </si>
  <si>
    <t>Penutup U - Ditch 20, panjang 0,6 m</t>
  </si>
  <si>
    <t>Penutup U - Ditch 30, panjang 0,6 m</t>
  </si>
  <si>
    <t>Penutup U - Ditch 40, panjang 0,6 m</t>
  </si>
  <si>
    <t>Penutup U - Ditch 50, panjang 0,6 m</t>
  </si>
  <si>
    <t>Penutup U - Ditch 60, panjang 0,6 m</t>
  </si>
  <si>
    <t>Penutup U - Ditch 80 LD tebal 10 cm, panjang 0,6 m</t>
  </si>
  <si>
    <t>Penutup U - Ditch 80 HD tebal 10 cm, panjang 0,6 m</t>
  </si>
  <si>
    <t>Penutup U - Ditch 100 LD tebal 12 cm, panjang 0,6 m</t>
  </si>
  <si>
    <t>Penutup U - Ditch 100 HD tebal 12 cm, panjang 0,6 m</t>
  </si>
  <si>
    <t>Penutup U - Ditch 120, panjang 0,6 m</t>
  </si>
  <si>
    <t>Besi UNP Double 200x75x7 mm +siku+mb+pl strip</t>
  </si>
  <si>
    <t>Besi UNP Double 150x75x5 mm +siku+mb+pl strip</t>
  </si>
  <si>
    <t>Besi UNP Double 120x55x4 mm +siku+mb+pl strip</t>
  </si>
  <si>
    <t>Besi UNP Double 100x50x3 mm +siku+mb+pl strip</t>
  </si>
  <si>
    <t>Besi UNP Double 80x45x3 mm +siku+mb+pl strip</t>
  </si>
  <si>
    <t>Besi L Double 100x100x9 mm +pl simpul+mb</t>
  </si>
  <si>
    <t>Besi L Double 90x90x8 mm +pl simpul+mb</t>
  </si>
  <si>
    <t>Besi L Double 80x80x7,5 mm +pl simpul+mb</t>
  </si>
  <si>
    <t>Besi L Double 70x70x6,5 mm +pl simpul+mb</t>
  </si>
  <si>
    <t>Besi UNP Double 200x75x7 mm +plat 4mm+angker</t>
  </si>
  <si>
    <t>Besi UNP Double 150x75x5 mm +plat 4mm+angker</t>
  </si>
  <si>
    <t>Besi UNP Double 120x55x4 mm +plat 4mm+angker</t>
  </si>
  <si>
    <t>Besi UNP Double 100x50x3 mm +plat 4mm+angker</t>
  </si>
  <si>
    <t>Besi UNP Double 80x45x3 mm +plat 4mm+angker</t>
  </si>
  <si>
    <t>Besi L Double 100x100x9 mm +plat pengaku+angker</t>
  </si>
  <si>
    <t>Besi L Double 90x90x8 mm +plat pengaku+angker</t>
  </si>
  <si>
    <t>Besi L Double 80x80x7,5 mm +plat pengaku+angker</t>
  </si>
  <si>
    <t>Besi L Double 70x70x6,5 mm +plat pengaku+angker</t>
  </si>
  <si>
    <t>Plat pintu 10 mm + rangka besi kanal U120</t>
  </si>
  <si>
    <t>Plat pintu 10 mm + rangka besi kanal U100</t>
  </si>
  <si>
    <t>Plat pintu 8 mm + rangka besi kanal U80</t>
  </si>
  <si>
    <t>Plat pintu 8 mm + rangka besi L 50x50x5</t>
  </si>
  <si>
    <t>Mur baut SUS 304 stainless steel (penjepit karet)</t>
  </si>
  <si>
    <t>Karet perapat</t>
  </si>
  <si>
    <t>Plat penjepit karet</t>
  </si>
  <si>
    <t>Plat peluncur SUS 304 stainless steel</t>
  </si>
  <si>
    <t>Plat peluncur kuningan</t>
  </si>
  <si>
    <t>Roda gigi piringan</t>
  </si>
  <si>
    <t>Roda gigi nanasan</t>
  </si>
  <si>
    <t>AS transmisi</t>
  </si>
  <si>
    <t>Mur kuningan Ø 4"</t>
  </si>
  <si>
    <t>Mur kuningan Ø 3,5"</t>
  </si>
  <si>
    <t>Mur besi Ø 4"</t>
  </si>
  <si>
    <t>Lakher Ø 4"</t>
  </si>
  <si>
    <t>Stang draft diameter 2,5" + mur baut</t>
  </si>
  <si>
    <t>Stang Pemutar Type A (bulat+dudukan+mb)</t>
  </si>
  <si>
    <t>Stang Pemutar Type B</t>
  </si>
  <si>
    <t>Stel ring</t>
  </si>
  <si>
    <t>Cat kapal</t>
  </si>
  <si>
    <t>Pelumas</t>
  </si>
  <si>
    <t>liter</t>
  </si>
  <si>
    <t>Penyetelan dan Centering Pintu</t>
  </si>
  <si>
    <t>MATERIAL BETON PRECAST</t>
  </si>
  <si>
    <t>PC I girder L=16; H=0,90; K-500 termasuk stressing, erection, diafragma, deckplat</t>
  </si>
  <si>
    <t>PC I girder L=20; H=1,25; K-500 termasuk stressing, erection, diafragma, deckplat</t>
  </si>
  <si>
    <t>PC I girder L=22; H=1,60; K-500 termasuk stressing, erection, diafragma, deckplat</t>
  </si>
  <si>
    <t>PC I girder L=30; H=1,70; K-500 termasuk stressing, erection, diafragma, deckplat</t>
  </si>
  <si>
    <t>PC I girder L=31; H=1,70; K-500 termasuk stressing, erection, diafragma, deckplat</t>
  </si>
  <si>
    <t>PC I girder L=35; H=2,10; K-500 termasuk stressing, erection, diafragma, deckplat</t>
  </si>
  <si>
    <t>PC I girder L=40; H=2,10; K-500 termasuk stressing, erection, diafragma, deckplat</t>
  </si>
  <si>
    <t>Tiang pancang pratekan pracetak spun piles Ø 300 mm</t>
  </si>
  <si>
    <t>Tiang pancang pratekan pracetak spun piles Ø 350 mm</t>
  </si>
  <si>
    <t>Tiang pancang pratekan pracetak spun piles Ø 400 mm</t>
  </si>
  <si>
    <t>Tiang pancang pratekan pracetak spun piles Ø 450 mm</t>
  </si>
  <si>
    <t>Tiang pancang pratekan pracetak spun piles Ø 500 mm</t>
  </si>
  <si>
    <t>Tiang pancang pratekan pracetak spun piles Ø 600 mm</t>
  </si>
  <si>
    <t>Tiang pancang pratekan pracetak square piles 250x250 mm</t>
  </si>
  <si>
    <t>Tiang pancang pratekan pracetak square piles 300x300 mm</t>
  </si>
  <si>
    <t>Tiang pancang pratekan pracetak square piles 350x350 mm</t>
  </si>
  <si>
    <t>Tiang pancang pratekan pracetak square piles 400x400 mm</t>
  </si>
  <si>
    <t>Tiang pancang pratekan pracetak square piles 450x450 mm</t>
  </si>
  <si>
    <t>Tiang pancang pratekan pracetak square piles 500x500 mm</t>
  </si>
  <si>
    <t>Tiang pancang pratekan pracetak spun square piles 400x400 mm</t>
  </si>
  <si>
    <t>Tiang pancang pratekan pracetak spun square piles 450x450 mm</t>
  </si>
  <si>
    <t>Sheetpile type FPC.220.500</t>
  </si>
  <si>
    <t>Sheetpile type FPC.320.500</t>
  </si>
  <si>
    <t>Sheetpile type CCSP W.325.1000 Kelas A</t>
  </si>
  <si>
    <t>Sheetpile type CCSP W.325.1000 Kelas B</t>
  </si>
  <si>
    <t>Sheetpile type CCSP W.350.1000 Kelas A</t>
  </si>
  <si>
    <t>Sheetpile type CCSP W.350.1000 Kelas B</t>
  </si>
  <si>
    <t>Sheetpile type CCSP W.400.1000 Kelas A</t>
  </si>
  <si>
    <t>Sheetpile type CCSP W.400.1000 Kelas B</t>
  </si>
  <si>
    <t>Sheetpile type CCSP W.450.1000 Kelas A</t>
  </si>
  <si>
    <t>Sheetpile type CCSP W.450.1000 Kelas B</t>
  </si>
  <si>
    <t>Sheetpile type CCSP W.500.1000 Kelas A</t>
  </si>
  <si>
    <t>Sheetpile type CCSP W.500.1000 Kelas B</t>
  </si>
  <si>
    <t>Sheetpile type CCSP W.600.1000 Kelas A</t>
  </si>
  <si>
    <t>Sheetpile type CCSP W.600.1000 Kelas B</t>
  </si>
  <si>
    <t>Triangle Pile 280</t>
  </si>
  <si>
    <t>Triangle Pile 300</t>
  </si>
  <si>
    <t>Triangle Pile 320</t>
  </si>
  <si>
    <t>Voided slab CTC=97 cm, L=8,6 cm,H=57 cm, K-500</t>
  </si>
  <si>
    <t>Voided slab CTC=97 cm, L=10,6 cm,H=57 cm, K-500</t>
  </si>
  <si>
    <t>Voided slab CTC=97 cm, L=12,6 cm,H=57 cm, K-500</t>
  </si>
  <si>
    <t>Panel beton pracetak 5x50x213 cm</t>
  </si>
  <si>
    <t>Kolom beton pracetak</t>
  </si>
  <si>
    <t>MATERIAL PERLENGKAPAN JALAN DAN JEMBATAN</t>
  </si>
  <si>
    <t>Elastomeric bearings jenis 1 (200 x 200 x 20)</t>
  </si>
  <si>
    <t>Elastomeric bearings jenis 1 (300 x 350 x 36)</t>
  </si>
  <si>
    <t>Elastomeric bearings jenis 2 (350 x 400 x 39)</t>
  </si>
  <si>
    <t>Elastomeric bearings jenis 3 (400 x 450 x 45)</t>
  </si>
  <si>
    <t>Bearing pad</t>
  </si>
  <si>
    <t>dm3</t>
  </si>
  <si>
    <t>Expansion joint tipe rubber</t>
  </si>
  <si>
    <t>Expansion joint tipe asphaltic plug</t>
  </si>
  <si>
    <t>MATERIAL PENUTUP ATAP</t>
  </si>
  <si>
    <t>Genteng beton</t>
  </si>
  <si>
    <t>Genteng decra bond</t>
  </si>
  <si>
    <t>Genteng kodok</t>
  </si>
  <si>
    <t>Genteng kodok glazuur</t>
  </si>
  <si>
    <t>Genteng metal</t>
  </si>
  <si>
    <t>Genteng palentong</t>
  </si>
  <si>
    <t>Genteng palentong super</t>
  </si>
  <si>
    <t>Bubung genteng kodok</t>
  </si>
  <si>
    <t>Bubung genteng palentong</t>
  </si>
  <si>
    <t>Nok genteng beton</t>
  </si>
  <si>
    <t>Nok stel gelombang</t>
  </si>
  <si>
    <t>Nok genteng metal</t>
  </si>
  <si>
    <t>Nok genteng aspal</t>
  </si>
  <si>
    <t>Roof light fiberglass</t>
  </si>
  <si>
    <t>Seng gelombang 3"-5"</t>
  </si>
  <si>
    <t>Seng gelombang bljs 30</t>
  </si>
  <si>
    <t>Seng gelombang bjls 28</t>
  </si>
  <si>
    <t>Seng gelombang uk. 0.9 x 1.8 t=0.02</t>
  </si>
  <si>
    <t>Seng plat 3" x 6" bjls 28</t>
  </si>
  <si>
    <t>Seng plat bjls 28</t>
  </si>
  <si>
    <t>Seng plat bjls 30</t>
  </si>
  <si>
    <t>Sirap kayu</t>
  </si>
  <si>
    <t>Asbes gelombang besar 5mm (250x102cm)</t>
  </si>
  <si>
    <t>Asbes gelombang besar 5mm (225x102cm)</t>
  </si>
  <si>
    <t>Asbes gelombang besar 5mm (200x102cm)</t>
  </si>
  <si>
    <t>Asbes gelombang besar 5mm (180x102cm)</t>
  </si>
  <si>
    <t>Asbes gelombang kecil 4mm (300x105)</t>
  </si>
  <si>
    <t>Asbes gelombang kecil 4mm (270x105)</t>
  </si>
  <si>
    <t>Asbes gelombang kecil 4mm (240x105)</t>
  </si>
  <si>
    <t>Asbes gelombang kecil 4mm (210x105)</t>
  </si>
  <si>
    <t>Asbes gelombang kecil 4mm (180x105)</t>
  </si>
  <si>
    <t>Asbes gelombang kecil 4mm (150x105)</t>
  </si>
  <si>
    <t>Asbes gelombang besar 6mm (300x102)</t>
  </si>
  <si>
    <t>Asbes gelombang besar 6mm (270x102)</t>
  </si>
  <si>
    <t>Asbes gelombang besar 6mm (240x102)</t>
  </si>
  <si>
    <t>Asbes gelombang besar 6mm (210x102)</t>
  </si>
  <si>
    <t>Asbes gelombang besar 6mm (180x102)</t>
  </si>
  <si>
    <t>Fibre glass (jabes) 180x92 cm</t>
  </si>
  <si>
    <t>Fibre glass (jabes) 200x92 cm</t>
  </si>
  <si>
    <t>Fibre glass (jabes) 180x105 cm</t>
  </si>
  <si>
    <t>Bubungan beton press</t>
  </si>
  <si>
    <t>Bubungan asbes kecil</t>
  </si>
  <si>
    <t>Bubungan asbes besar</t>
  </si>
  <si>
    <t>Alumunium gelombang tebal 0,55</t>
  </si>
  <si>
    <t>Nok standar 40x18</t>
  </si>
  <si>
    <t>Genteng aspal</t>
  </si>
  <si>
    <t>Bitumen tekstur genting</t>
  </si>
  <si>
    <t>Listplang tekstur kayu</t>
  </si>
  <si>
    <t>Listplang papan kalsiboard</t>
  </si>
  <si>
    <t>MATERIAL PLAFOND</t>
  </si>
  <si>
    <t>Akustik ukuran 30 x 30 cm</t>
  </si>
  <si>
    <t>Akustik ukuran 30 x 60 cm</t>
  </si>
  <si>
    <t>Asbes 1,00 x 1,00 m</t>
  </si>
  <si>
    <t>Gypsum Board (120 cm x 240 cm x 9 mm)</t>
  </si>
  <si>
    <t>Gypsum Board (120 cm x 240 cm x 12 mm)</t>
  </si>
  <si>
    <t>Pelat asbes tebal 3,5 mm</t>
  </si>
  <si>
    <t>Pelat asbes tebal 4 mm</t>
  </si>
  <si>
    <t>GRCboard (120 cm x 240 cm x 6 mm)</t>
  </si>
  <si>
    <t>GRCboard (120 cm x 240 cm x 5 mm)</t>
  </si>
  <si>
    <t>Listplank GRC (20 cm x 244 cm x 9 mm )</t>
  </si>
  <si>
    <t>List gypsum</t>
  </si>
  <si>
    <t>MATERIALPENUTUP LANTAI DAN DINDING</t>
  </si>
  <si>
    <t>Keramik 10 x 20 cm</t>
  </si>
  <si>
    <t>Keramik 20 x 20 cm</t>
  </si>
  <si>
    <t>Keramik 20 x 25 cm</t>
  </si>
  <si>
    <t>Keramik 25 x 25 cm</t>
  </si>
  <si>
    <t>Keramik 30 x 30 cm</t>
  </si>
  <si>
    <t>Keramik 40 x 40 cm</t>
  </si>
  <si>
    <t>Granit tile 40 x 40 cm</t>
  </si>
  <si>
    <t>Granit tile 30 x 30 cm</t>
  </si>
  <si>
    <t>Granit tile unpolish</t>
  </si>
  <si>
    <t>Plint granit 10cm x 40cm</t>
  </si>
  <si>
    <t>Plint granit 10cm x 30cm</t>
  </si>
  <si>
    <t>Plint keramik 10 x 20 cm</t>
  </si>
  <si>
    <t>Plint keramik 5 x 20 cm</t>
  </si>
  <si>
    <t>Plint keramik 10 x 30 cm</t>
  </si>
  <si>
    <t>Batako ukuran 20 x 40 x 10 cm</t>
  </si>
  <si>
    <t>Marmer</t>
  </si>
  <si>
    <t>Parquet jati</t>
  </si>
  <si>
    <t>Carpet</t>
  </si>
  <si>
    <t>Keramik Dinding dan Lantai</t>
  </si>
  <si>
    <t>Keramik Dinding 25x45 ex. Roman W45712 Style Cream</t>
  </si>
  <si>
    <t>Keramik Dinding 25x33.3 ex. Roman W30619 Arvada Bisquita</t>
  </si>
  <si>
    <t>Keramik Dinding 25x33.3 ex. Roman W30607 Loretto Grey</t>
  </si>
  <si>
    <t>Keramik Dinding 25x33.3 ex. Roman W30655 Denver Dark Brown</t>
  </si>
  <si>
    <t xml:space="preserve">Keramik Dinding 20x25 cm ex. Roman W25107 Lucido Crema </t>
  </si>
  <si>
    <t xml:space="preserve"> Keramik 33.3x66.6 Cm ex. Roman G662402 Sparx Cosmic </t>
  </si>
  <si>
    <t xml:space="preserve"> Keramik 20x60 Cm ex. Roman W62310 Lluvia Bianco</t>
  </si>
  <si>
    <t xml:space="preserve"> Keramik 20x60 Cm ex. Roman W62237 Dchezz Grana</t>
  </si>
  <si>
    <t xml:space="preserve"> Keramik 20x60 Cm ex. Roman W40240 Polka Black</t>
  </si>
  <si>
    <t xml:space="preserve"> Keramik 30x60 W63535 ex. Roman Colosseum Beige</t>
  </si>
  <si>
    <t xml:space="preserve"> Keramik 30x60 ex. Roman Inserto Colosseum</t>
  </si>
  <si>
    <t>Keramik Lantai</t>
  </si>
  <si>
    <t xml:space="preserve">Keramik Lantai 45x45 Cm ex. Roman G452241 Adealide Cream Antislip Surface </t>
  </si>
  <si>
    <t xml:space="preserve">Keramik Lantai 40x40 Cm ex. Roman G449235 Alexa Grigio </t>
  </si>
  <si>
    <t xml:space="preserve">Keramik Lantai 40x40 Cm ex. Roman Gol. D </t>
  </si>
  <si>
    <t>Keramik Lantai 20x40 Cm ex. Roman Alexa Graffite</t>
  </si>
  <si>
    <t xml:space="preserve">Keramik Lantai 33,33x33,33 Cm ex. Roman G362242 Adelaide Coffee </t>
  </si>
  <si>
    <t xml:space="preserve">Keramik Lantai 33,33x33,33 Cm ex. Roman G362093 Cliffstone Bone </t>
  </si>
  <si>
    <t xml:space="preserve">Keramik Lantai 33,33x33,33 Cm ex. Roman G367000 (Anti Slip) Sandstone Bone </t>
  </si>
  <si>
    <t>Keramik Lantai 30x30 cm ex. Roman</t>
  </si>
  <si>
    <t>Keramik Lantai Anti-Slip 30x30 cm ex. Roman</t>
  </si>
  <si>
    <t xml:space="preserve">Keramik Lantai 20x20 cm ex. Roman G227061 Veneere Coffee </t>
  </si>
  <si>
    <t xml:space="preserve">Keramik Lantai 20x20 cm ex. Roman G224000 Sandstone Cream </t>
  </si>
  <si>
    <t xml:space="preserve">Keramik Stepnosing 10x20 cm ex. Roman </t>
  </si>
  <si>
    <t>Keramik Lantai 40x40 cm ex. Hercules</t>
  </si>
  <si>
    <t>Keramik Lantai 20x20 cm ex. Roman Glazur</t>
  </si>
  <si>
    <t>Keramik Lantai Anti-Slip 20x20 Cm ex. Roman</t>
  </si>
  <si>
    <t>Keramik Lantai Mozaik Kuda Mas</t>
  </si>
  <si>
    <t>Batu Candi Tebal 3 cm</t>
  </si>
  <si>
    <t>Conwood Deck 6"/10 (152 x 3050 x 25mm)</t>
  </si>
  <si>
    <t>Keramik plin lantai 10x30 Cm ex. Roman</t>
  </si>
  <si>
    <t>Keramik plin lantai 10x20 Cm ex. Roman</t>
  </si>
  <si>
    <t>Mozaik Kuda Mas</t>
  </si>
  <si>
    <t>Homogeneous Tile dan Marmer</t>
  </si>
  <si>
    <t>Homogeneous Tile 80x80 Cm ex. Niro Granite Tipe Regal GMR83 Vanilla Polished</t>
  </si>
  <si>
    <t xml:space="preserve">Homogeneous Tile 80x80 Cm ex. Niro Granite Tipe Yura GMY06 Lead Grey </t>
  </si>
  <si>
    <t>Homogeneous Tile 60x60 Cm ex. Niro Granite Tipe Wave GMV03 Beige Matt Surface</t>
  </si>
  <si>
    <t>Homogeneous Tile 80x80 Cm ex. Niro Granite Tipe Lucido GMA86 Rachele</t>
  </si>
  <si>
    <t>Homogeneous Tile 60x60 Cm ex. Niro Granite Tipe Polar Black GPB02 Cobblestone Matt</t>
  </si>
  <si>
    <t>Homogeneous Tile 60x60 Cm ex. Niro Granite Tipe Polar Black GPB03 Moonrock Structured Surface</t>
  </si>
  <si>
    <t>Homogeneous Tile 40x40 Cm ex. Niro Granite Yura GMY01 Snow</t>
  </si>
  <si>
    <t>Homogeneous Tile 15x60 Cm ex. Niro Granite Tipe Natural Wood GNW21 Pine</t>
  </si>
  <si>
    <t>Homogeneous Tile plin lantai 10x80 Cm ex. Niro Granite</t>
  </si>
  <si>
    <t>Homogeneous Tile plin lantai 10x60 Cm ex. Niro Granite</t>
  </si>
  <si>
    <t>Homogeneous Tile plin lantai 10x40 Cm ex. Niro Granite</t>
  </si>
  <si>
    <t>Homogenious "Step Tile" 30x80 Cm ex. Niro Granite</t>
  </si>
  <si>
    <t>Homogeneous Tile 30x30 Cm ex. Niro Granite Tipe Mozaic Cut GGS12 Matt Surface</t>
  </si>
  <si>
    <t>Homogeneous Tile 30x60 Cm ex. Niro Granite Tipe Wave GMV03 Beige Matt Surface</t>
  </si>
  <si>
    <t>Marmer uk. 100x100 cm</t>
  </si>
  <si>
    <t>Homogeneous Tile Granito uk. 60x60 cm Salsa Crystal Ivory</t>
  </si>
  <si>
    <t>Homogeneous Tile Granito uk. 40x40 cm Salsa Crystal Ivory</t>
  </si>
  <si>
    <t>Homogeneous Tile Granito uk. 15x60 cm Salsa Crystal Grey Stone</t>
  </si>
  <si>
    <t>Homogeneous Tile Granito 30x60 cm "Step Tile" Lunar Rustic Alumina</t>
  </si>
  <si>
    <t>Hospital Plint Homogeneous Tile Granito 10x20 cm</t>
  </si>
  <si>
    <t xml:space="preserve">Homogeneous Tile Niro uk. 60x60 cm </t>
  </si>
  <si>
    <t>Tara plex Action 5 + Capping&amp;Cove</t>
  </si>
  <si>
    <t>MATERIAL PEREKAT</t>
  </si>
  <si>
    <t>Lem kayu</t>
  </si>
  <si>
    <t>Lem vinyl</t>
  </si>
  <si>
    <t>Lem Aibon</t>
  </si>
  <si>
    <t>Perekat untuk wallpaper</t>
  </si>
  <si>
    <t>Perekat khusus penutup lantai</t>
  </si>
  <si>
    <t>Perekat khusus penutup dinding</t>
  </si>
  <si>
    <t>Pengisi khusus rongga nat</t>
  </si>
  <si>
    <t>Flexible waterproofing</t>
  </si>
  <si>
    <t>Semen merah</t>
  </si>
  <si>
    <t>Semen nat</t>
  </si>
  <si>
    <t>Semen warna</t>
  </si>
  <si>
    <t>Portland cement</t>
  </si>
  <si>
    <t>Semen 40 Kg</t>
  </si>
  <si>
    <t>ex Holcim</t>
  </si>
  <si>
    <t>zak</t>
  </si>
  <si>
    <t>Semen 50 Kg</t>
  </si>
  <si>
    <t>Semen putih 40 Kg</t>
  </si>
  <si>
    <t>Semen putih 50 Kg</t>
  </si>
  <si>
    <t>Adukan beton K-100 ready mix</t>
  </si>
  <si>
    <t>Adukan beton K-175 ready mix</t>
  </si>
  <si>
    <t>Adukan beton K-200 ready mix</t>
  </si>
  <si>
    <t>Adukan beton K-225 ready mix</t>
  </si>
  <si>
    <t>Adukan beton K-250 ready mix</t>
  </si>
  <si>
    <t>Adukan beton K-275 ready mix</t>
  </si>
  <si>
    <t>Adukan beton K-300 ready mix</t>
  </si>
  <si>
    <t>Adukan beton K-350 ready mix</t>
  </si>
  <si>
    <t>Adukan beton K-400 ready mix</t>
  </si>
  <si>
    <t>Adukan beton K-500 ready mix</t>
  </si>
  <si>
    <t>Waterproofing</t>
  </si>
  <si>
    <t>Compound gypsum</t>
  </si>
  <si>
    <t>Compound hardboard</t>
  </si>
  <si>
    <t>Paper tape hardboard</t>
  </si>
  <si>
    <t>Kassa</t>
  </si>
  <si>
    <t>MATERIAL CAT</t>
  </si>
  <si>
    <t>Cat dasar (cat kayu)</t>
  </si>
  <si>
    <t>Cat dasar (cat besi)</t>
  </si>
  <si>
    <t>Cat dasar (cat tembok)</t>
  </si>
  <si>
    <t>Cat antara (cat besi)</t>
  </si>
  <si>
    <t>Cat penutup (cat kayu)</t>
  </si>
  <si>
    <t>Cat penutup (cat besi)</t>
  </si>
  <si>
    <t>Cat anti karat</t>
  </si>
  <si>
    <t>Cat besi</t>
  </si>
  <si>
    <t>Cat coating</t>
  </si>
  <si>
    <t>Cat tembok</t>
  </si>
  <si>
    <t>Meni kayu</t>
  </si>
  <si>
    <t>Meni besi</t>
  </si>
  <si>
    <t>Dempul</t>
  </si>
  <si>
    <t>Dempul jadi</t>
  </si>
  <si>
    <t>Ampelas</t>
  </si>
  <si>
    <t>Kuas 4"</t>
  </si>
  <si>
    <t>Kuas 3"</t>
  </si>
  <si>
    <t>Kuas 2"</t>
  </si>
  <si>
    <t>Kuas 1"</t>
  </si>
  <si>
    <t>Plamir kayu</t>
  </si>
  <si>
    <t>Plamir tembok</t>
  </si>
  <si>
    <t>Politur</t>
  </si>
  <si>
    <t>Politur jadi</t>
  </si>
  <si>
    <t>Vernis</t>
  </si>
  <si>
    <t>Pengencer cat kayu/besi</t>
  </si>
  <si>
    <t>Cat genteng</t>
  </si>
  <si>
    <t>MATERIAL KUNCI DAN ENGSEL</t>
  </si>
  <si>
    <t>Door closer</t>
  </si>
  <si>
    <t>Door holder</t>
  </si>
  <si>
    <t>Door stop</t>
  </si>
  <si>
    <t>Engsel angin</t>
  </si>
  <si>
    <t>Engsel jendela</t>
  </si>
  <si>
    <t>Engsel pintu (kw 2)</t>
  </si>
  <si>
    <t>Engsel pintu (kw 1)</t>
  </si>
  <si>
    <t>Engsel kupu-kupu</t>
  </si>
  <si>
    <t>Engsel lengan jendela</t>
  </si>
  <si>
    <t>Kait angin</t>
  </si>
  <si>
    <t>Kunci lemari</t>
  </si>
  <si>
    <t>Kunci selot</t>
  </si>
  <si>
    <t>Kunci silinder</t>
  </si>
  <si>
    <t>Kunci tanam antik</t>
  </si>
  <si>
    <t>Kunci tanam biasa</t>
  </si>
  <si>
    <t>Kunci tanam kamar mandi</t>
  </si>
  <si>
    <t>Spring knip</t>
  </si>
  <si>
    <t>Grendel Tanam Luar Negeri</t>
  </si>
  <si>
    <t>Grendel Biasa</t>
  </si>
  <si>
    <t>Pull handle stainless jumbo (kw 1)</t>
  </si>
  <si>
    <t>Pull handle (kw 1)</t>
  </si>
  <si>
    <t>Handle pintu (kw 1)</t>
  </si>
  <si>
    <t>Rel pintu sorong</t>
  </si>
  <si>
    <t>set</t>
  </si>
  <si>
    <t>1 set kunci pintu (kw 1)</t>
  </si>
  <si>
    <t>1 set kunci pintu (kw 2)</t>
  </si>
  <si>
    <t>MATERIAL KACA</t>
  </si>
  <si>
    <t>Jendela nako</t>
  </si>
  <si>
    <t>Kaca polos 3mm</t>
  </si>
  <si>
    <t>Kaca polos 5mm</t>
  </si>
  <si>
    <t>Kaca polos 8mm</t>
  </si>
  <si>
    <t>Kaca buram</t>
  </si>
  <si>
    <t>12 mm</t>
  </si>
  <si>
    <t>Kaca cermin 5mm</t>
  </si>
  <si>
    <t>Kaca cermin 6mm</t>
  </si>
  <si>
    <t>Profil kaca</t>
  </si>
  <si>
    <t>Kaca patri 5mm</t>
  </si>
  <si>
    <t>Kaca cermin 8mm</t>
  </si>
  <si>
    <t>Kaca wireglass 5mm</t>
  </si>
  <si>
    <t>Ray Band 3mm</t>
  </si>
  <si>
    <t>Ray Band 5mm</t>
  </si>
  <si>
    <t>Kaca gravire 5mm</t>
  </si>
  <si>
    <t>Kaca gravire putih 5mm</t>
  </si>
  <si>
    <t>Kaca lukis alur 5mm</t>
  </si>
  <si>
    <t>Kaca triple 5mm</t>
  </si>
  <si>
    <t>Kaca triple platinum 5mm</t>
  </si>
  <si>
    <t>Kaca tanpa tripel 5mm</t>
  </si>
  <si>
    <t>MATERIAL SANITAIR</t>
  </si>
  <si>
    <t>Bak cuci stainless steel</t>
  </si>
  <si>
    <t>Bak fiberglass 70 x 70 x 66 cm</t>
  </si>
  <si>
    <t>Bak reservoir fibreglass (kapasitas 1000 liter)</t>
  </si>
  <si>
    <t>Floor drain stainles steel</t>
  </si>
  <si>
    <t>Kloset duduk/monoblok</t>
  </si>
  <si>
    <t>Kloset jongkok porselen</t>
  </si>
  <si>
    <t>Kran air</t>
  </si>
  <si>
    <t>Urinoir</t>
  </si>
  <si>
    <t>Wastavel</t>
  </si>
  <si>
    <t>Water drain + asesories</t>
  </si>
  <si>
    <t>Tempat sabun gantung</t>
  </si>
  <si>
    <t>Tempat sabun tanam</t>
  </si>
  <si>
    <t>MATERIAL MINYAK</t>
  </si>
  <si>
    <t>Minyak cat</t>
  </si>
  <si>
    <t>Residu</t>
  </si>
  <si>
    <t>Teak oil</t>
  </si>
  <si>
    <t>Thinner A</t>
  </si>
  <si>
    <t>Solar (industri)</t>
  </si>
  <si>
    <t>Solar</t>
  </si>
  <si>
    <t>Bensin (industri)</t>
  </si>
  <si>
    <t>Bensin</t>
  </si>
  <si>
    <t>Minyak tanah</t>
  </si>
  <si>
    <t>Thinner</t>
  </si>
  <si>
    <t>Minyak bekisting</t>
  </si>
  <si>
    <t>Minyak Pelumas</t>
  </si>
  <si>
    <t>Oli mesin</t>
  </si>
  <si>
    <t>Oli hidrolis</t>
  </si>
  <si>
    <t>Steamvet</t>
  </si>
  <si>
    <t>Bentonit</t>
  </si>
  <si>
    <t>Premium (industri)</t>
  </si>
  <si>
    <t>MATERIAL PINTU ALUMINIUM DAN BESI</t>
  </si>
  <si>
    <t>Pintu aluminium</t>
  </si>
  <si>
    <t>Profil aluminium</t>
  </si>
  <si>
    <t>Aluminium strip</t>
  </si>
  <si>
    <t>Skrup fixer</t>
  </si>
  <si>
    <t>Pintu lipat (folding door) alumunium</t>
  </si>
  <si>
    <t>Rolling door besi</t>
  </si>
  <si>
    <t>Sliding pintu J4</t>
  </si>
  <si>
    <t>Pintu lipat besi</t>
  </si>
  <si>
    <t>Kusen aluminium 4" putih</t>
  </si>
  <si>
    <t>Sunscreen aluminium</t>
  </si>
  <si>
    <t>Rolling door aluminium</t>
  </si>
  <si>
    <t>C channel galvanis lebar 40 mm</t>
  </si>
  <si>
    <t>C channel galvanis lebar 75 mm</t>
  </si>
  <si>
    <t>Hollow galvanis 20x40x0,4 mm</t>
  </si>
  <si>
    <t>Hollow galvanis 40x40x0,4 mm</t>
  </si>
  <si>
    <t>Talang galvalum lebar 50 cm tebal 0,4 mm</t>
  </si>
  <si>
    <t>Pintu alluminium</t>
  </si>
  <si>
    <t>Rangka metal hollow 40.40.2 mm</t>
  </si>
  <si>
    <t>Alluminium strip</t>
  </si>
  <si>
    <t>MATERIAL PAGAR BRC</t>
  </si>
  <si>
    <t>Pagar BRC 90 K2</t>
  </si>
  <si>
    <t>Pagar BRC 120 K2</t>
  </si>
  <si>
    <t>Pagar BRC 175 K3</t>
  </si>
  <si>
    <t>Pagar BRC 190 K3</t>
  </si>
  <si>
    <t>Tiang BRC lengkap P 90 Ø 1,5"</t>
  </si>
  <si>
    <t>Tiang BRC lengkap P 120 Ø 1,5"</t>
  </si>
  <si>
    <t>Tiang BRC lengkap P 175 Ø 1,5"</t>
  </si>
  <si>
    <t>Tiang BRC lengkap P 190 Ø 1,5"</t>
  </si>
  <si>
    <t>BRC Single Gate SG 90 T1</t>
  </si>
  <si>
    <t>BRC Single Gate SG 120 T1</t>
  </si>
  <si>
    <t>BRC Single Gate SG 175 T1</t>
  </si>
  <si>
    <t>BRC Single Gate SG 190 T1</t>
  </si>
  <si>
    <t>BRC Double Gate DG 90 T1</t>
  </si>
  <si>
    <t>BRC Double Gate DG 120 T1</t>
  </si>
  <si>
    <t>BRC Double Gate DG 175 T1</t>
  </si>
  <si>
    <t>BRC Double Gate DG 190 T1</t>
  </si>
  <si>
    <t>MATERIAL LISTRIK</t>
  </si>
  <si>
    <t>Lampu HPSI 70 W / 220V</t>
  </si>
  <si>
    <t>Lampu HPSI 150 W / 220V</t>
  </si>
  <si>
    <t>Lampu HPSI 250 W / 220V</t>
  </si>
  <si>
    <t>Lampu HPSI 400 W / 220V</t>
  </si>
  <si>
    <t>Lampu HPSI 1000 W / 220V</t>
  </si>
  <si>
    <t>Lampu SL 32 watt</t>
  </si>
  <si>
    <t>Lampu SL 42 watt</t>
  </si>
  <si>
    <t>Lampu SL 65 watt</t>
  </si>
  <si>
    <t>Lampu LVD 40 watt</t>
  </si>
  <si>
    <t>Lampu TL 40 W / 220 V</t>
  </si>
  <si>
    <t>Lampu pijar 5 W / 220 V</t>
  </si>
  <si>
    <t>Lampu HPL 125 W / 220 V</t>
  </si>
  <si>
    <t>Lampu HPL 250 W / 220 V</t>
  </si>
  <si>
    <t>Lampu HPI.T 250 W / 220 V</t>
  </si>
  <si>
    <t>Lampu HPI.T 1000 W / 220 V</t>
  </si>
  <si>
    <t>Lampu HPS.T 70 W / 220 V</t>
  </si>
  <si>
    <t>Lampu HPS.T 150 W / 220 V</t>
  </si>
  <si>
    <t>Lampu HPS.T 250 W / 220 V</t>
  </si>
  <si>
    <t>Lampu HPS.T 400 W / 220 V</t>
  </si>
  <si>
    <t>Lampu HPST 70 watt (komplit set)</t>
  </si>
  <si>
    <t>Lampu HPST 150 watt (komplit set)</t>
  </si>
  <si>
    <t>Lampu HPST 250 watt (komplit set)</t>
  </si>
  <si>
    <t>Lampu HPST 400 watt (komplit set)</t>
  </si>
  <si>
    <t>Lampu HPI.T 250 W / 220 V Komplit Set</t>
  </si>
  <si>
    <t>Lampu HPI.T 400 W / 220 V Komplit Set</t>
  </si>
  <si>
    <t>Lampu Flood Lighting 1000 W Komplit Set</t>
  </si>
  <si>
    <t>Lampu Non Neon</t>
  </si>
  <si>
    <t>Lampu Hias Lombok (5 m)</t>
  </si>
  <si>
    <t>Lampu Hias Selang</t>
  </si>
  <si>
    <t>Tiang octagonal single ornament (T.Parabole)</t>
  </si>
  <si>
    <t>Tiang beton tipe : 09 - 100 daN E</t>
  </si>
  <si>
    <t>Traffo SON.T 70 W / 220V</t>
  </si>
  <si>
    <t>Traffo SON.T 150 W / 220V</t>
  </si>
  <si>
    <t>Traffo SON.T 250 W / 220V</t>
  </si>
  <si>
    <t>Traffo SON.T 400 W / 220V</t>
  </si>
  <si>
    <t>Traffo SON.T 1000 W / 220V</t>
  </si>
  <si>
    <t>Traffo TL 40 W / 220 V</t>
  </si>
  <si>
    <t>Traffo HPL 125 W</t>
  </si>
  <si>
    <t>Traffo HPL 250 W</t>
  </si>
  <si>
    <t>Traffo HPI.T 250 W</t>
  </si>
  <si>
    <t>Dimming 250 W</t>
  </si>
  <si>
    <t>Dimming 400 W</t>
  </si>
  <si>
    <t>MCB 6 A</t>
  </si>
  <si>
    <t>MCB 10 A</t>
  </si>
  <si>
    <t>MCB 25 A</t>
  </si>
  <si>
    <t>MCB 30 A</t>
  </si>
  <si>
    <t>MCB 40 A</t>
  </si>
  <si>
    <t>Kapasitor CP20CU29</t>
  </si>
  <si>
    <t>Kapasitor CP25ER28</t>
  </si>
  <si>
    <t>Kapasitor CP30ET28</t>
  </si>
  <si>
    <t>Kapasitor 12.5 uF</t>
  </si>
  <si>
    <t>Kapasitor 8 mF</t>
  </si>
  <si>
    <t>Kapasitor Metal Halide 70 W</t>
  </si>
  <si>
    <t>Kapasitor Metal Halide 100 W</t>
  </si>
  <si>
    <t>Kapasitor Metal Halide 150 W</t>
  </si>
  <si>
    <t>Ignitor SI 51</t>
  </si>
  <si>
    <t>Ignitor SI 52</t>
  </si>
  <si>
    <t>Ignitor SN 56</t>
  </si>
  <si>
    <t>Ignitor SN 57</t>
  </si>
  <si>
    <t>Ignitor SN 58</t>
  </si>
  <si>
    <t>Ignitor SN 58 TI</t>
  </si>
  <si>
    <t>Kontaktor SN.25</t>
  </si>
  <si>
    <t>Kontaktor SN.35</t>
  </si>
  <si>
    <t>Kontaktor SN.65</t>
  </si>
  <si>
    <t>Konektor</t>
  </si>
  <si>
    <t>Konektor / terminal 6 mm</t>
  </si>
  <si>
    <t>Konektor / terminal 10 mm</t>
  </si>
  <si>
    <t>Konektor / terminal 16 mm</t>
  </si>
  <si>
    <t>Konektor / terminal 25 mm</t>
  </si>
  <si>
    <t>Ballast 70 W / 220 V</t>
  </si>
  <si>
    <t>Ballast 150 W / 220 V</t>
  </si>
  <si>
    <t>Ballast 250 W / 220 V</t>
  </si>
  <si>
    <t>Ballast 400 W / 220 V</t>
  </si>
  <si>
    <t>Kabel NYM 2 x 1.5 mm2</t>
  </si>
  <si>
    <t>Kabel NYM 2 x 2,5 mm2</t>
  </si>
  <si>
    <t>Kabel NYM 2 x 4 mm2</t>
  </si>
  <si>
    <t>Kabel NYM 3 x 1.5 mm2</t>
  </si>
  <si>
    <t>Kabel NYM 3 x 2.5 mm2</t>
  </si>
  <si>
    <t>Kabel NYM 3 x 4 mm2</t>
  </si>
  <si>
    <t>Kabel NYM 3 x 6 mm2</t>
  </si>
  <si>
    <t>Kabel NYM 3 x 10 mm2</t>
  </si>
  <si>
    <t>Kabel NYY 3 x 1.5 mm2</t>
  </si>
  <si>
    <t>Kabel NYY 3 x 2.5 mm2</t>
  </si>
  <si>
    <t>Kabel NYY 3 x 4 mm2</t>
  </si>
  <si>
    <t>Kabel NYY 3 x 6 mm2</t>
  </si>
  <si>
    <t>Kabel NYY 3 x 10 mm2</t>
  </si>
  <si>
    <t>Kabel NYY 4 x 4 mm2</t>
  </si>
  <si>
    <t>Kabel NYY 4 x 6 mm2</t>
  </si>
  <si>
    <t>Kabel NYY 4 x 10 mm2</t>
  </si>
  <si>
    <t>Kabel LVTC 2 x 10 mm2</t>
  </si>
  <si>
    <t>Kabel LVTC 2 x 25 mm2</t>
  </si>
  <si>
    <t>Kabel LTVC 3 x 10 mm2</t>
  </si>
  <si>
    <t>Kabel LVTC 3 x 16 mm2</t>
  </si>
  <si>
    <t>Kabel LTVC 3 x 35 mm N 25</t>
  </si>
  <si>
    <t>Kabel NYA 1.5 mm</t>
  </si>
  <si>
    <t>Kabel NYA 2.5 mm</t>
  </si>
  <si>
    <t>Kabel NYA F 6 mm</t>
  </si>
  <si>
    <t>6 mm</t>
  </si>
  <si>
    <t>Kabel NYA F 10 mm</t>
  </si>
  <si>
    <t>Kabel DX 2 x 10 mm</t>
  </si>
  <si>
    <t>Kabel DX 2 x 16 mm</t>
  </si>
  <si>
    <t>Kabel DX 2 x 25 mm</t>
  </si>
  <si>
    <t>Kabel NYFGBY 3 x 10 mm</t>
  </si>
  <si>
    <t>Kabel NYFGBY 4 x 16 mm</t>
  </si>
  <si>
    <t>Senur</t>
  </si>
  <si>
    <t>roll</t>
  </si>
  <si>
    <t>PTS 60 A</t>
  </si>
  <si>
    <t>PTS 80 A</t>
  </si>
  <si>
    <t>PTS 120 A</t>
  </si>
  <si>
    <t>Fitting Gantung</t>
  </si>
  <si>
    <t>Fitting DK E 27 / Keramik</t>
  </si>
  <si>
    <t>Fitting DK E 40</t>
  </si>
  <si>
    <t>Box Panel 30 x 40 x 20 mm</t>
  </si>
  <si>
    <t>Box Panel 20 x 40 x 50 mm</t>
  </si>
  <si>
    <t>Box Panel 50 x 60 mm</t>
  </si>
  <si>
    <t>Box panel 80x60x30 cm</t>
  </si>
  <si>
    <t>Begel steel box panel</t>
  </si>
  <si>
    <t>Begel steel infoor</t>
  </si>
  <si>
    <t>Magnetic Contactor SN.65</t>
  </si>
  <si>
    <t>Pipa infoor galvanis Ø 2"</t>
  </si>
  <si>
    <t>Pipa flexibel</t>
  </si>
  <si>
    <t>Kawat BC - 6 mm</t>
  </si>
  <si>
    <t>m</t>
  </si>
  <si>
    <t>Kanal C</t>
  </si>
  <si>
    <t>Kabel NYY 2 x 16 mm2</t>
  </si>
  <si>
    <t>Mur baut</t>
  </si>
  <si>
    <t>Ground rood 5/8"</t>
  </si>
  <si>
    <t>T. infooring</t>
  </si>
  <si>
    <t>Begel stang</t>
  </si>
  <si>
    <t>Begel stang Ø 2",8" mm (medium A)</t>
  </si>
  <si>
    <t>Stang Ø 1" x 2 m (caping)</t>
  </si>
  <si>
    <t>Pipa Subduct HDPE 40 mm x 34 mm2</t>
  </si>
  <si>
    <t>Tang Listrik</t>
  </si>
  <si>
    <t>Testpen</t>
  </si>
  <si>
    <t>Toolset</t>
  </si>
  <si>
    <t>Timer theben</t>
  </si>
  <si>
    <t>Obeng min</t>
  </si>
  <si>
    <t>Obeng kembang</t>
  </si>
  <si>
    <t>Long Dead And</t>
  </si>
  <si>
    <t>Ling</t>
  </si>
  <si>
    <t>Strain clamp wedge alluminium Alloy</t>
  </si>
  <si>
    <t>Stainless stell strap</t>
  </si>
  <si>
    <t>Stopping</t>
  </si>
  <si>
    <t>Fotocell 6 A</t>
  </si>
  <si>
    <t>SWC</t>
  </si>
  <si>
    <t>Silicon</t>
  </si>
  <si>
    <t>SJ.6</t>
  </si>
  <si>
    <t>Stainless</t>
  </si>
  <si>
    <t>Amperemeter</t>
  </si>
  <si>
    <t>Bandead alcoa</t>
  </si>
  <si>
    <t>Multimeter</t>
  </si>
  <si>
    <t>Isolasi</t>
  </si>
  <si>
    <t>Kawat Las UK.32</t>
  </si>
  <si>
    <t>dos</t>
  </si>
  <si>
    <t>Pisau gerindo</t>
  </si>
  <si>
    <t>Kawat seng</t>
  </si>
  <si>
    <t>Tutup panel 30 x 30</t>
  </si>
  <si>
    <t>Retur material eksisting</t>
  </si>
  <si>
    <t>Tutup kaca</t>
  </si>
  <si>
    <t>Pasang panel kontrol</t>
  </si>
  <si>
    <t>Penyambungan beban</t>
  </si>
  <si>
    <t>Pasang instalasi per titik</t>
  </si>
  <si>
    <t>titik</t>
  </si>
  <si>
    <t>Pengetesan dan penyalaan</t>
  </si>
  <si>
    <t>Biaya angkutan</t>
  </si>
  <si>
    <t>jam</t>
  </si>
  <si>
    <t>Upah pasang stang 2" - 3" meter</t>
  </si>
  <si>
    <t>ls</t>
  </si>
  <si>
    <t>Upah pasang stang 2" - 6" meter</t>
  </si>
  <si>
    <t>Upah pasang lampu</t>
  </si>
  <si>
    <t>Alat bantu listrik</t>
  </si>
  <si>
    <t>Assesoris panel</t>
  </si>
  <si>
    <t>Assesoris kabel</t>
  </si>
  <si>
    <t>MATERIAL LAIN-LAIN</t>
  </si>
  <si>
    <t>Air</t>
  </si>
  <si>
    <t>Air,</t>
  </si>
  <si>
    <t>Cat marka (non thermoplastic)</t>
  </si>
  <si>
    <t>Cat marka (thermoplastic)</t>
  </si>
  <si>
    <t>Curing compound</t>
  </si>
  <si>
    <t>Formtie/penjaga jarak bekesting/spacer</t>
  </si>
  <si>
    <t>Gebalan Rumput</t>
  </si>
  <si>
    <t>Glass Bead</t>
  </si>
  <si>
    <t>Ijuk</t>
  </si>
  <si>
    <t>Karung plastik</t>
  </si>
  <si>
    <t>Plat nama jalan 10x50 cm</t>
  </si>
  <si>
    <t>Plat rambu 60x60 cm/Ø60cm engineering grade</t>
  </si>
  <si>
    <t>Plat rambu 60x60 cm/Ø60cm high intensity grade</t>
  </si>
  <si>
    <t>Plastik cor/Polytene 125 mikron</t>
  </si>
  <si>
    <t>Sesek bambu (2x1,5m)</t>
  </si>
  <si>
    <t>Tali ijuk</t>
  </si>
  <si>
    <t>Formica</t>
  </si>
  <si>
    <t>Ramset/dina bolt</t>
  </si>
  <si>
    <t>Rel pintu dorong</t>
  </si>
  <si>
    <t>Roster/terawang</t>
  </si>
  <si>
    <t>Sabun</t>
  </si>
  <si>
    <t>Seal tape</t>
  </si>
  <si>
    <t>Aluminium foil</t>
  </si>
  <si>
    <t>Soda api</t>
  </si>
  <si>
    <t>Wallpaper</t>
  </si>
  <si>
    <t>Sealant</t>
  </si>
  <si>
    <t>tube</t>
  </si>
  <si>
    <t>Sealant kaca</t>
  </si>
  <si>
    <t>Batu apung</t>
  </si>
  <si>
    <t>Nako per daun</t>
  </si>
  <si>
    <t>Kapur</t>
  </si>
  <si>
    <t>Screen low carbon</t>
  </si>
  <si>
    <t>Screen stainless steel ø 4"</t>
  </si>
  <si>
    <t>Pipa screen pvc Ø 4"</t>
  </si>
  <si>
    <t>Pipa HDPE 40/33 mm</t>
  </si>
  <si>
    <t>Sesek bambu</t>
  </si>
  <si>
    <t>Recorder paper</t>
  </si>
  <si>
    <t>Alat tulis</t>
  </si>
  <si>
    <t>Additive</t>
  </si>
  <si>
    <t>Aspal curah</t>
  </si>
  <si>
    <t>Aspal drum</t>
  </si>
  <si>
    <t>Guiding Block</t>
  </si>
  <si>
    <t>Bollard stainless steel (tinggi 1m ; Ø 4")</t>
  </si>
  <si>
    <t>Bollard cast iron (tinggi 1,2m ; Ø bawah 5" ; Ø atas 4")</t>
  </si>
  <si>
    <t>Batako (ukuran 40x20x10)</t>
  </si>
  <si>
    <t>Batako (ukuran 40x20x12)</t>
  </si>
  <si>
    <t>Batako (ukuran 40x20x15)</t>
  </si>
  <si>
    <t>Batako (ukuran 40x20x20)</t>
  </si>
  <si>
    <t>Hebel Block (ukuran 60x20x10 cm)</t>
  </si>
  <si>
    <t>Hebel Block (ukuran 60x20x15 cm)</t>
  </si>
  <si>
    <t>Hebel Block (ukuran 60x20x20 cm)</t>
  </si>
  <si>
    <t>Joint Sealent</t>
  </si>
  <si>
    <t>Inlet drain uk. 28 x 39 cm (tipe vertikal) Pabrikasi</t>
  </si>
  <si>
    <t>Dinabolt dia 12mm (10-15cm)</t>
  </si>
  <si>
    <t>Lapisan galvanis</t>
  </si>
  <si>
    <t>Pintu lipat (folding door) bahan plastik/PVC</t>
  </si>
  <si>
    <t>Jendela nako (rangka + kaca 5 mm)</t>
  </si>
  <si>
    <t>Plastic aerator</t>
  </si>
  <si>
    <t>Venetions blinds dan vertical blinds (tirai)</t>
  </si>
  <si>
    <t xml:space="preserve">Kayu balok 5/7 </t>
  </si>
  <si>
    <t xml:space="preserve">Paku 2”-3” </t>
  </si>
  <si>
    <t xml:space="preserve">Kayu papan 3/20 </t>
  </si>
  <si>
    <t xml:space="preserve">Hari </t>
  </si>
  <si>
    <t>Kepala tukang Batu</t>
  </si>
  <si>
    <t>Pembantu Tukang Batu</t>
  </si>
  <si>
    <t>Kepala Tukang Kayu</t>
  </si>
  <si>
    <t>Tukang Kayu Kasar</t>
  </si>
  <si>
    <t>Tukang Kayu Halus</t>
  </si>
  <si>
    <t>Pembantu Tukang Kayu</t>
  </si>
  <si>
    <t>Tukang Pasang Keramik</t>
  </si>
  <si>
    <t>Kepala Tukang Besi</t>
  </si>
  <si>
    <t>Pembantu Tukang Besi</t>
  </si>
  <si>
    <t>Kepala tukang Cat/Politur</t>
  </si>
  <si>
    <t>Tukang Cat/Politur</t>
  </si>
  <si>
    <t>Tukang Listrik</t>
  </si>
  <si>
    <t>Tenaga (Instalasi Listrik)</t>
  </si>
  <si>
    <t>Tukang Gali Sumur</t>
  </si>
  <si>
    <t>Tukang pipa</t>
  </si>
  <si>
    <t>Tukang Pipa Air Bersih</t>
  </si>
  <si>
    <t>Kepala Tukang Aspal</t>
  </si>
  <si>
    <t>Juru Godog Aspal</t>
  </si>
  <si>
    <t>Juru Semprot Aspal</t>
  </si>
  <si>
    <t>Mekanik terlatih</t>
  </si>
  <si>
    <t>Pembantu Mekanik</t>
  </si>
  <si>
    <t>Operator Terlatih</t>
  </si>
  <si>
    <t>Operator Semi Terlatih</t>
  </si>
  <si>
    <t>Pembantu Operator</t>
  </si>
  <si>
    <t>Tukang Bongkar</t>
  </si>
  <si>
    <t>Pekerja Galian dan Urug</t>
  </si>
  <si>
    <t>Uang layar</t>
  </si>
  <si>
    <t>Pengambil/pengirim sampel</t>
  </si>
  <si>
    <t>Mengurug tanah urug</t>
  </si>
  <si>
    <t>Tanah urug</t>
  </si>
  <si>
    <t>Mengurug pasir bawah lantai</t>
  </si>
  <si>
    <t>Pasir urug</t>
  </si>
  <si>
    <t xml:space="preserve">Galian Tanah biasa </t>
  </si>
  <si>
    <t xml:space="preserve">Galian Tanah Pondasi </t>
  </si>
  <si>
    <t xml:space="preserve">Pengurugan pasir urug dibawah pondasi </t>
  </si>
  <si>
    <t>Pengurugan kembali galian tanah</t>
  </si>
  <si>
    <t>PEKERJAAN PONDASI</t>
  </si>
  <si>
    <t>Memasang pondasi batu belah, campuran 1 PC : 3 KP : 10PS</t>
  </si>
  <si>
    <t>Batu belah 15 cm/20 cm</t>
  </si>
  <si>
    <t>PC</t>
  </si>
  <si>
    <t xml:space="preserve">Pasir Pasang </t>
  </si>
  <si>
    <t>Tukang batu</t>
  </si>
  <si>
    <t>Memasang batu kosong (aanstamping)</t>
  </si>
  <si>
    <t>PEKERJAAN DINDING</t>
  </si>
  <si>
    <t>Bata merah</t>
  </si>
  <si>
    <t>Portland Cement</t>
  </si>
  <si>
    <t xml:space="preserve"> </t>
  </si>
  <si>
    <t>Plesteran 1 Pc : 2 Ps, tebal 15 mm</t>
  </si>
  <si>
    <t>Pemasangan Acian</t>
  </si>
  <si>
    <t>Kepala tukang batu</t>
  </si>
  <si>
    <t>Batu belah</t>
  </si>
  <si>
    <t>Memasang dinding bata merah ukuran (5 x 11 x 22) cm tebal 1/2 bata, campuran spesi 1 PC :3 PP</t>
  </si>
  <si>
    <t>Memasang dinding bata merah ukuran (5 x 11 x 22) cm tebal 1/2 bata, campuran spesi 1 PC :5 PP</t>
  </si>
  <si>
    <t>Memasang dinding terawang (roster) ukuran 20 x 30 cm, campuran spesi 1 PC : 3 PP</t>
  </si>
  <si>
    <t>Roster 20/30 cm</t>
  </si>
  <si>
    <t>Plesteran 1 Pc : 8 Ps, tebal 15 mm</t>
  </si>
  <si>
    <t>Plesteran Sponeng 1Pc:2Ps</t>
  </si>
  <si>
    <t>PEKERJAAN  BETON &amp; BESI</t>
  </si>
  <si>
    <t>Beton mutu, f’c = 21,7 MPa (K250) kedap air,slump (12±2) cm, w/c = 0,56</t>
  </si>
  <si>
    <t xml:space="preserve">Portland cement </t>
  </si>
  <si>
    <t xml:space="preserve">Pasir Beton </t>
  </si>
  <si>
    <t>Krikil</t>
  </si>
  <si>
    <t>Kepala Tukang batu</t>
  </si>
  <si>
    <t>Liter</t>
  </si>
  <si>
    <t>Kepala Tukang kayu</t>
  </si>
  <si>
    <t>Tukang kayu kasar</t>
  </si>
  <si>
    <t>Paku 5 cm dan 7 cm</t>
  </si>
  <si>
    <t>Tukang besi</t>
  </si>
  <si>
    <t>Kepala Tukang besi</t>
  </si>
  <si>
    <t>Besi Beton (Polos/ulir)</t>
  </si>
  <si>
    <t>Kawat Ikat</t>
  </si>
  <si>
    <t xml:space="preserve">Kaso 5/7 cm </t>
  </si>
  <si>
    <t>Minyak Bekisting</t>
  </si>
  <si>
    <t>lbr</t>
  </si>
  <si>
    <t>Multiplek tebal 0,4 cm</t>
  </si>
  <si>
    <t>Pekerjaan Balok 20x30</t>
  </si>
  <si>
    <t>Pekerjaan kolom 20x20</t>
  </si>
  <si>
    <t>Perancah bekisting lantai menggunakan kaso 5/7 cm, tinggi 4 m/JAT &lt; 60 cm</t>
  </si>
  <si>
    <t xml:space="preserve">Membuat balok sembunyi 10x10 cm </t>
  </si>
  <si>
    <t>Perancah bekisting lantai menggunakan kayu telerang</t>
  </si>
  <si>
    <t xml:space="preserve"> Kayu Telerang</t>
  </si>
  <si>
    <t>Pekerjaan Kolom 20x30</t>
  </si>
  <si>
    <t xml:space="preserve">Membuat sloof 15x20 cm </t>
  </si>
  <si>
    <t>Bekisting Balok beton expose menggunakan multiflex 6 mm</t>
  </si>
  <si>
    <t>Multiflex 6 mm</t>
  </si>
  <si>
    <t>Bekisting Kolom beton expose menggunakan multiflex 6 mm</t>
  </si>
  <si>
    <t>Bekisting kolom beton expose menggunakan multiflex 6 mm</t>
  </si>
  <si>
    <t>Bekisting balok beton expose menggunakan multiflex 6 mm, JAT &lt; 1,0m</t>
  </si>
  <si>
    <t>Bekisting fondasi dan sloof beton biasa menggunakan multiflex 6 mm</t>
  </si>
  <si>
    <t>Membuat dag lantai beton t = 125 mm</t>
  </si>
  <si>
    <t>Bekisting lantai beton expose dengan multiflex 6 mm</t>
  </si>
  <si>
    <t>Pekerjaan Tangga</t>
  </si>
  <si>
    <t xml:space="preserve">Membuat plat lantai beton bertulang tbl: 12 cm </t>
  </si>
  <si>
    <t>Pekerjaan Pembongkaran Bekisting</t>
  </si>
  <si>
    <t>Bongkar 1 m² bekisting secara biasa (membersihkan dan membereskan puing-puing)</t>
  </si>
  <si>
    <t>PEKERJAAN KERAMIK</t>
  </si>
  <si>
    <t>Pemasangan 1 m2 lantai ubin teralux marmer ukuran 60 cm x 60 cm</t>
  </si>
  <si>
    <t>Semen Portland</t>
  </si>
  <si>
    <t>Ubin ex Granite Homogenus Tile</t>
  </si>
  <si>
    <t xml:space="preserve">Plint </t>
  </si>
  <si>
    <t>Pemasangan 1 m2 lantai ubin warna ukuran 30 cm x 30 cm (Cut)</t>
  </si>
  <si>
    <t>Ambang Bawah Daun</t>
  </si>
  <si>
    <t>Tiang Kusen</t>
  </si>
  <si>
    <t>Penutup Ambang</t>
  </si>
  <si>
    <t>Ambang Atas</t>
  </si>
  <si>
    <t>Sealent</t>
  </si>
  <si>
    <t>Clear Glass</t>
  </si>
  <si>
    <t>Floor Hinge</t>
  </si>
  <si>
    <t>Alat Dan Aksesoris</t>
  </si>
  <si>
    <t>Upah Perakitan</t>
  </si>
  <si>
    <t>Upah Pasang Kaca</t>
  </si>
  <si>
    <t>Upah Pekerjaan Sealent</t>
  </si>
  <si>
    <t>Set</t>
  </si>
  <si>
    <t>PEKERJAAN PINTU DAN JENDELA</t>
  </si>
  <si>
    <t>PA2</t>
  </si>
  <si>
    <t>Pintu Aluminium</t>
  </si>
  <si>
    <t>Profil Aluminium</t>
  </si>
  <si>
    <t>OH</t>
  </si>
  <si>
    <t>Balok Kayu (Veneer)</t>
  </si>
  <si>
    <t xml:space="preserve">Paku </t>
  </si>
  <si>
    <t>Lem Kayu</t>
  </si>
  <si>
    <t>Tiang Kusen Alumunium</t>
  </si>
  <si>
    <t>Tukang kayu halus</t>
  </si>
  <si>
    <t>Kepala tukang kayu</t>
  </si>
  <si>
    <t>Pintu Aluminium Lipat</t>
  </si>
  <si>
    <t>Jendela Alumunium Krepyak Beli Jadi</t>
  </si>
  <si>
    <t xml:space="preserve">Rangka langit-langit besi hollow </t>
  </si>
  <si>
    <t>Rangka Tengah Hollow 4x4cm P.6,00m</t>
  </si>
  <si>
    <t>Rangka Tengah Hollow 2x4cm P.4,00m</t>
  </si>
  <si>
    <t>Baut Sekrup dia. 3mm2,50cm</t>
  </si>
  <si>
    <t>Benang Rami</t>
  </si>
  <si>
    <t>btg</t>
  </si>
  <si>
    <t>glg</t>
  </si>
  <si>
    <t>Langit-langit gypsum board</t>
  </si>
  <si>
    <t>Gypsum Board</t>
  </si>
  <si>
    <t>Paku Skrup</t>
  </si>
  <si>
    <t xml:space="preserve">Expossed soffit slab beton / soffit balok / soffit tangga / intel soffit </t>
  </si>
  <si>
    <t>Plamuur</t>
  </si>
  <si>
    <t>Cat Dasar</t>
  </si>
  <si>
    <t>Cat Penutup</t>
  </si>
  <si>
    <t>Cat Penutup ex Ctylax</t>
  </si>
  <si>
    <t>Cat penutup (cat tembok) catylax</t>
  </si>
  <si>
    <t>Cat penutup (cat tembok) mowilek</t>
  </si>
  <si>
    <t>Cat Penutup ex mowilek</t>
  </si>
  <si>
    <t>Cat Menie</t>
  </si>
  <si>
    <t>Kuas</t>
  </si>
  <si>
    <t>Pengencer</t>
  </si>
  <si>
    <t>Amplas</t>
  </si>
  <si>
    <t>Cat Penutup Ex. Matex Nippon Paint</t>
  </si>
  <si>
    <t>PEKERJAAN MEKANIKAL DAN ELEKTRIKAL</t>
  </si>
  <si>
    <t>Pasang Spike Light</t>
  </si>
  <si>
    <t>Spike Light</t>
  </si>
  <si>
    <t xml:space="preserve"> Pipa Listrik</t>
  </si>
  <si>
    <t xml:space="preserve"> Kabel Nym 2X1,5Mm</t>
  </si>
  <si>
    <t xml:space="preserve"> Klem Pipa</t>
  </si>
  <si>
    <t xml:space="preserve"> Klem Kabel</t>
  </si>
  <si>
    <t xml:space="preserve"> T Doos</t>
  </si>
  <si>
    <t xml:space="preserve"> Fitting </t>
  </si>
  <si>
    <t xml:space="preserve"> Saklar</t>
  </si>
  <si>
    <t>doos</t>
  </si>
  <si>
    <t xml:space="preserve"> Led Downlight Recessed</t>
  </si>
  <si>
    <t>Wall Mounted Light Outblow</t>
  </si>
  <si>
    <t>Wall Recessed</t>
  </si>
  <si>
    <t xml:space="preserve">Pasang Led Strip </t>
  </si>
  <si>
    <t xml:space="preserve">Led Strip </t>
  </si>
  <si>
    <t xml:space="preserve">Pemasangan Integrated Lighting Control </t>
  </si>
  <si>
    <t xml:space="preserve"> Integrated Lighting Control </t>
  </si>
  <si>
    <t>Pasang Light Switches Four</t>
  </si>
  <si>
    <t>Pasang Light Switches Hotel</t>
  </si>
  <si>
    <t>Pasang Light Switches Hotel Double</t>
  </si>
  <si>
    <t>Pasang Power Point Wall</t>
  </si>
  <si>
    <t>Pasang Power Point Wall Double</t>
  </si>
  <si>
    <t xml:space="preserve">Pasang Air Con Unit </t>
  </si>
  <si>
    <t>Ac</t>
  </si>
  <si>
    <t>Lumpsum</t>
  </si>
  <si>
    <t>Pemasangan Mcb</t>
  </si>
  <si>
    <t>MCB</t>
  </si>
  <si>
    <t>Pasang Listrik Pln 2200 Volt</t>
  </si>
  <si>
    <t>PEKERJAAN SANITASI</t>
  </si>
  <si>
    <t xml:space="preserve"> Closet Duduk </t>
  </si>
  <si>
    <t xml:space="preserve"> Papan Dudukan</t>
  </si>
  <si>
    <t>Tukang Pipa</t>
  </si>
  <si>
    <t>hk</t>
  </si>
  <si>
    <t>Bor Listrik</t>
  </si>
  <si>
    <t xml:space="preserve"> Kaca Cermin</t>
  </si>
  <si>
    <t>Head Shower Toto TX438SE</t>
  </si>
  <si>
    <t>hand shower set TX432SHBR</t>
  </si>
  <si>
    <t>Floor waste ex Mueler</t>
  </si>
  <si>
    <t>Tissue Holder Toto Tx 703 Ag</t>
  </si>
  <si>
    <t>Seal Tape</t>
  </si>
  <si>
    <t>tx 129 L</t>
  </si>
  <si>
    <t>Lw 248jr</t>
  </si>
  <si>
    <t>closet duduk porselen EX INA</t>
  </si>
  <si>
    <t>Perlengkapan</t>
  </si>
  <si>
    <t>Pipa PVC</t>
  </si>
  <si>
    <t>Jet Washer Toto Thx20Mcrb</t>
  </si>
  <si>
    <t>Tissue Holder Toto Tx 703 AES</t>
  </si>
  <si>
    <t>Hand Shower Toto 471SE</t>
  </si>
  <si>
    <t>Kran Ex onda</t>
  </si>
  <si>
    <t>Floor Drain ex Mueler</t>
  </si>
  <si>
    <t>Batu Bata</t>
  </si>
  <si>
    <t>Pasir Pasang</t>
  </si>
  <si>
    <t>Batu Kerikil</t>
  </si>
  <si>
    <t>Besi Beton</t>
  </si>
  <si>
    <t>Pasir Beton</t>
  </si>
  <si>
    <t xml:space="preserve">Memasang biotin 8 orang </t>
  </si>
  <si>
    <t xml:space="preserve">Biotin Septictank kapasitas 8 orang </t>
  </si>
  <si>
    <t>Penanaman rumput lempengan</t>
  </si>
  <si>
    <t>Semak hias</t>
  </si>
  <si>
    <t>Penanaman semak hias</t>
  </si>
  <si>
    <t>Pemasangan 1 m2 panel beton pracetak 5x50x240 cm untuk pagar</t>
  </si>
  <si>
    <t xml:space="preserve">Panel beton pracetak </t>
  </si>
  <si>
    <t xml:space="preserve">kolom beton pracetak </t>
  </si>
  <si>
    <t>semen PC</t>
  </si>
  <si>
    <t xml:space="preserve">Koral </t>
  </si>
  <si>
    <t>Lbr</t>
  </si>
  <si>
    <t xml:space="preserve">Batang </t>
  </si>
  <si>
    <t>m^3</t>
  </si>
  <si>
    <t xml:space="preserve">Paving blok carport </t>
  </si>
  <si>
    <t xml:space="preserve">Paving block 6 cm </t>
  </si>
  <si>
    <t xml:space="preserve">Pembesian 200 kg dengan besi polos atau ulir </t>
  </si>
  <si>
    <t xml:space="preserve">Pembesian 100 kg dengan besi polos atau ulir </t>
  </si>
  <si>
    <t>HT2 homogenous tile dinding 300x300 mm (KM/WC)</t>
  </si>
  <si>
    <t>Pasang Air con unit 0,5pk</t>
  </si>
  <si>
    <t>PEKERJAAN TAMAN</t>
  </si>
  <si>
    <t>Acian Dinding Rata</t>
  </si>
  <si>
    <t>Membuat Kolom praktis 15x15 cm</t>
  </si>
  <si>
    <t>SNI-2010</t>
  </si>
  <si>
    <t>Besi Beton polos</t>
  </si>
  <si>
    <t>Kawat Beton</t>
  </si>
  <si>
    <t>Semen PC</t>
  </si>
  <si>
    <t>ltr</t>
  </si>
  <si>
    <t>Koral Beton</t>
  </si>
  <si>
    <t>Usuk meranti</t>
  </si>
  <si>
    <t>Polywood 9 mm</t>
  </si>
  <si>
    <t>Dolken Kayu panjang 4m</t>
  </si>
  <si>
    <t>Tukang Kayu kasar</t>
  </si>
  <si>
    <t>Membuat ring balok 15x20</t>
  </si>
  <si>
    <t>ralling tangga</t>
  </si>
  <si>
    <t>peralatan</t>
  </si>
  <si>
    <t>Railing Tangga</t>
  </si>
  <si>
    <t>PEKERJAAN ATAP</t>
  </si>
  <si>
    <t xml:space="preserve">Peralatan </t>
  </si>
  <si>
    <t>Pemasangan 1 m2 atap pelana rangka atap baja canai dingin profil C75</t>
  </si>
  <si>
    <t>Pemasangan 1 m2 atap genteng palentong kecil</t>
  </si>
  <si>
    <t>Genteng Plentong</t>
  </si>
  <si>
    <t>Pemasangan 1 m’ bubung genteng palentong</t>
  </si>
  <si>
    <t xml:space="preserve">Buah </t>
  </si>
  <si>
    <t xml:space="preserve">Genteng bubung </t>
  </si>
  <si>
    <t xml:space="preserve">Pasir pasang </t>
  </si>
  <si>
    <t>Paku 5 dan 7 cm</t>
  </si>
  <si>
    <t>Pemasangan 1 m’ lisplank ukuran (3 x 20) cm, kayu kelas I atau kelas II</t>
  </si>
  <si>
    <t>Papan GRC</t>
  </si>
  <si>
    <t>Rangka metal hollow C75</t>
  </si>
  <si>
    <t>Reng Metal Hollow R30</t>
  </si>
  <si>
    <t xml:space="preserve">Membuat Plat Lantai Beton Bertulang Tbl: 15 Cm </t>
  </si>
  <si>
    <t>Membuat Dag Lantai Beton T = 120 Mm</t>
  </si>
  <si>
    <r>
      <t>m</t>
    </r>
    <r>
      <rPr>
        <vertAlign val="superscript"/>
        <sz val="10"/>
        <rFont val="Calibri"/>
        <family val="2"/>
        <scheme val="minor"/>
      </rPr>
      <t>3</t>
    </r>
  </si>
  <si>
    <t xml:space="preserve">Kode </t>
  </si>
  <si>
    <t>Koef</t>
  </si>
  <si>
    <t xml:space="preserve">Satuan </t>
  </si>
  <si>
    <t xml:space="preserve">Harga </t>
  </si>
  <si>
    <t xml:space="preserve">Harga Satuan </t>
  </si>
  <si>
    <t xml:space="preserve">Uraian Pekerjaan </t>
  </si>
  <si>
    <t>(6)</t>
  </si>
  <si>
    <t>(7)</t>
  </si>
  <si>
    <t>(8)</t>
  </si>
  <si>
    <t>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</si>
</sst>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0_);_(* \(#,##0.000\);_(* &quot;-&quot;??_);_(@_)"/>
    <numFmt numFmtId="167" formatCode="_(* #,##0_);_(* \(#,##0\);_(* &quot;-&quot;??_);_(@_)"/>
    <numFmt numFmtId="168" formatCode="_(* #,##0.0000_);_(* \(#,##0.0000\);_(* &quot;-&quot;_);_(@_)"/>
    <numFmt numFmtId="169" formatCode="0.0000"/>
    <numFmt numFmtId="170" formatCode="_(* #,##0.000_);_(* \(#,##0.000\);_(* &quot;-&quot;_);_(@_)"/>
    <numFmt numFmtId="175" formatCode="_(* #,##0.00_);_(* \(#,##0.00\);_(* &quot;-&quot;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double"/>
      <sz val="18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u val="double"/>
      <sz val="16"/>
      <name val="Arial Narrow"/>
      <family val="2"/>
    </font>
    <font>
      <sz val="11"/>
      <color theme="1"/>
      <name val="Arial Narrow"/>
      <family val="2"/>
    </font>
    <font>
      <b/>
      <u val="double"/>
      <sz val="14"/>
      <name val="Arial Narrow"/>
      <family val="2"/>
    </font>
    <font>
      <b/>
      <sz val="10"/>
      <color indexed="8"/>
      <name val="Arial Narrow"/>
      <family val="2"/>
    </font>
    <font>
      <b/>
      <u val="double"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name val="Arial Narrow"/>
      <family val="2"/>
    </font>
    <font>
      <b/>
      <u/>
      <sz val="11"/>
      <name val="Arial Narrow"/>
      <family val="2"/>
    </font>
    <font>
      <b/>
      <sz val="10"/>
      <color indexed="8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88">
    <xf numFmtId="0" fontId="0" fillId="0" borderId="0" xfId="0"/>
    <xf numFmtId="0" fontId="4" fillId="2" borderId="0" xfId="2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/>
    </xf>
    <xf numFmtId="164" fontId="5" fillId="2" borderId="0" xfId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2" fillId="2" borderId="0" xfId="3" applyFont="1" applyFill="1"/>
    <xf numFmtId="164" fontId="6" fillId="2" borderId="0" xfId="1" applyFont="1" applyFill="1" applyBorder="1" applyAlignment="1">
      <alignment horizontal="right"/>
    </xf>
    <xf numFmtId="166" fontId="2" fillId="2" borderId="0" xfId="4" applyNumberFormat="1" applyFont="1" applyFill="1"/>
    <xf numFmtId="0" fontId="2" fillId="2" borderId="0" xfId="3" applyFont="1" applyFill="1" applyAlignment="1">
      <alignment horizontal="center"/>
    </xf>
    <xf numFmtId="167" fontId="2" fillId="2" borderId="0" xfId="4" applyNumberFormat="1" applyFont="1" applyFill="1"/>
    <xf numFmtId="164" fontId="7" fillId="2" borderId="1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164" fontId="8" fillId="2" borderId="10" xfId="1" applyFont="1" applyFill="1" applyBorder="1"/>
    <xf numFmtId="164" fontId="8" fillId="2" borderId="11" xfId="1" applyFont="1" applyFill="1" applyBorder="1"/>
    <xf numFmtId="2" fontId="8" fillId="2" borderId="11" xfId="1" applyNumberFormat="1" applyFont="1" applyFill="1" applyBorder="1"/>
    <xf numFmtId="164" fontId="8" fillId="2" borderId="12" xfId="1" applyFont="1" applyFill="1" applyBorder="1"/>
    <xf numFmtId="164" fontId="8" fillId="2" borderId="13" xfId="1" applyFont="1" applyFill="1" applyBorder="1"/>
    <xf numFmtId="164" fontId="8" fillId="2" borderId="14" xfId="1" applyFont="1" applyFill="1" applyBorder="1"/>
    <xf numFmtId="2" fontId="8" fillId="2" borderId="14" xfId="1" applyNumberFormat="1" applyFont="1" applyFill="1" applyBorder="1"/>
    <xf numFmtId="41" fontId="8" fillId="2" borderId="14" xfId="1" applyNumberFormat="1" applyFont="1" applyFill="1" applyBorder="1"/>
    <xf numFmtId="164" fontId="8" fillId="2" borderId="15" xfId="1" applyFont="1" applyFill="1" applyBorder="1"/>
    <xf numFmtId="164" fontId="8" fillId="2" borderId="16" xfId="1" applyFont="1" applyFill="1" applyBorder="1"/>
    <xf numFmtId="164" fontId="8" fillId="2" borderId="17" xfId="1" applyFont="1" applyFill="1" applyBorder="1"/>
    <xf numFmtId="2" fontId="8" fillId="2" borderId="17" xfId="5" applyNumberFormat="1" applyFont="1" applyFill="1" applyBorder="1"/>
    <xf numFmtId="2" fontId="8" fillId="2" borderId="17" xfId="1" applyNumberFormat="1" applyFont="1" applyFill="1" applyBorder="1"/>
    <xf numFmtId="2" fontId="2" fillId="2" borderId="0" xfId="4" applyNumberFormat="1" applyFont="1" applyFill="1"/>
    <xf numFmtId="164" fontId="8" fillId="2" borderId="18" xfId="1" applyFont="1" applyFill="1" applyBorder="1"/>
    <xf numFmtId="164" fontId="8" fillId="2" borderId="19" xfId="1" applyFont="1" applyFill="1" applyBorder="1"/>
    <xf numFmtId="2" fontId="8" fillId="2" borderId="19" xfId="1" applyNumberFormat="1" applyFont="1" applyFill="1" applyBorder="1"/>
    <xf numFmtId="164" fontId="7" fillId="2" borderId="19" xfId="1" applyFont="1" applyFill="1" applyBorder="1"/>
    <xf numFmtId="164" fontId="7" fillId="2" borderId="20" xfId="1" applyFont="1" applyFill="1" applyBorder="1"/>
    <xf numFmtId="164" fontId="8" fillId="2" borderId="20" xfId="1" applyFont="1" applyFill="1" applyBorder="1"/>
    <xf numFmtId="166" fontId="9" fillId="2" borderId="14" xfId="4" applyNumberFormat="1" applyFont="1" applyFill="1" applyBorder="1"/>
    <xf numFmtId="2" fontId="8" fillId="2" borderId="14" xfId="5" applyNumberFormat="1" applyFont="1" applyFill="1" applyBorder="1"/>
    <xf numFmtId="0" fontId="9" fillId="2" borderId="14" xfId="3" applyFont="1" applyFill="1" applyBorder="1"/>
    <xf numFmtId="0" fontId="8" fillId="2" borderId="14" xfId="3" applyFont="1" applyFill="1" applyBorder="1"/>
    <xf numFmtId="0" fontId="8" fillId="2" borderId="14" xfId="5" applyNumberFormat="1" applyFont="1" applyFill="1" applyBorder="1"/>
    <xf numFmtId="164" fontId="8" fillId="2" borderId="21" xfId="1" applyFont="1" applyFill="1" applyBorder="1"/>
    <xf numFmtId="2" fontId="8" fillId="2" borderId="21" xfId="1" applyNumberFormat="1" applyFont="1" applyFill="1" applyBorder="1"/>
    <xf numFmtId="0" fontId="8" fillId="2" borderId="17" xfId="3" applyFont="1" applyFill="1" applyBorder="1"/>
    <xf numFmtId="164" fontId="8" fillId="2" borderId="22" xfId="1" applyFont="1" applyFill="1" applyBorder="1"/>
    <xf numFmtId="164" fontId="8" fillId="2" borderId="23" xfId="1" applyFont="1" applyFill="1" applyBorder="1"/>
    <xf numFmtId="164" fontId="8" fillId="2" borderId="6" xfId="1" applyFont="1" applyFill="1" applyBorder="1"/>
    <xf numFmtId="164" fontId="8" fillId="2" borderId="7" xfId="1" applyFont="1" applyFill="1" applyBorder="1"/>
    <xf numFmtId="2" fontId="8" fillId="2" borderId="7" xfId="1" applyNumberFormat="1" applyFont="1" applyFill="1" applyBorder="1"/>
    <xf numFmtId="164" fontId="8" fillId="2" borderId="24" xfId="1" applyFont="1" applyFill="1" applyBorder="1"/>
    <xf numFmtId="164" fontId="8" fillId="0" borderId="25" xfId="1" applyFont="1" applyFill="1" applyBorder="1"/>
    <xf numFmtId="2" fontId="8" fillId="0" borderId="14" xfId="1" applyNumberFormat="1" applyFont="1" applyFill="1" applyBorder="1"/>
    <xf numFmtId="164" fontId="8" fillId="0" borderId="14" xfId="1" applyFont="1" applyFill="1" applyBorder="1"/>
    <xf numFmtId="164" fontId="8" fillId="0" borderId="15" xfId="1" applyFont="1" applyFill="1" applyBorder="1"/>
    <xf numFmtId="2" fontId="8" fillId="0" borderId="17" xfId="1" applyNumberFormat="1" applyFont="1" applyFill="1" applyBorder="1"/>
    <xf numFmtId="164" fontId="8" fillId="0" borderId="17" xfId="1" applyFont="1" applyFill="1" applyBorder="1"/>
    <xf numFmtId="164" fontId="8" fillId="0" borderId="18" xfId="1" applyFont="1" applyFill="1" applyBorder="1"/>
    <xf numFmtId="41" fontId="7" fillId="2" borderId="20" xfId="1" applyNumberFormat="1" applyFont="1" applyFill="1" applyBorder="1"/>
    <xf numFmtId="164" fontId="7" fillId="2" borderId="17" xfId="1" applyFont="1" applyFill="1" applyBorder="1"/>
    <xf numFmtId="164" fontId="7" fillId="2" borderId="18" xfId="1" applyFont="1" applyFill="1" applyBorder="1"/>
    <xf numFmtId="41" fontId="8" fillId="2" borderId="14" xfId="5" applyFont="1" applyFill="1" applyBorder="1"/>
    <xf numFmtId="41" fontId="8" fillId="2" borderId="15" xfId="5" applyFont="1" applyFill="1" applyBorder="1"/>
    <xf numFmtId="164" fontId="8" fillId="2" borderId="26" xfId="1" applyFont="1" applyFill="1" applyBorder="1"/>
    <xf numFmtId="164" fontId="8" fillId="2" borderId="27" xfId="1" applyFont="1" applyFill="1" applyBorder="1"/>
    <xf numFmtId="164" fontId="8" fillId="2" borderId="28" xfId="1" applyFont="1" applyFill="1" applyBorder="1"/>
    <xf numFmtId="164" fontId="8" fillId="2" borderId="29" xfId="1" applyFont="1" applyFill="1" applyBorder="1"/>
    <xf numFmtId="164" fontId="8" fillId="2" borderId="30" xfId="1" applyFont="1" applyFill="1" applyBorder="1"/>
    <xf numFmtId="164" fontId="8" fillId="2" borderId="31" xfId="1" applyFont="1" applyFill="1" applyBorder="1"/>
    <xf numFmtId="164" fontId="8" fillId="2" borderId="32" xfId="1" applyFont="1" applyFill="1" applyBorder="1"/>
    <xf numFmtId="164" fontId="8" fillId="2" borderId="33" xfId="1" applyFont="1" applyFill="1" applyBorder="1"/>
    <xf numFmtId="164" fontId="7" fillId="2" borderId="33" xfId="1" applyFont="1" applyFill="1" applyBorder="1"/>
    <xf numFmtId="164" fontId="7" fillId="2" borderId="34" xfId="1" applyFont="1" applyFill="1" applyBorder="1"/>
    <xf numFmtId="164" fontId="7" fillId="2" borderId="35" xfId="1" applyFont="1" applyFill="1" applyBorder="1"/>
    <xf numFmtId="164" fontId="8" fillId="2" borderId="36" xfId="1" applyFont="1" applyFill="1" applyBorder="1"/>
    <xf numFmtId="164" fontId="8" fillId="2" borderId="37" xfId="1" applyFont="1" applyFill="1" applyBorder="1"/>
    <xf numFmtId="164" fontId="7" fillId="2" borderId="37" xfId="1" applyFont="1" applyFill="1" applyBorder="1"/>
    <xf numFmtId="164" fontId="7" fillId="2" borderId="38" xfId="1" applyFont="1" applyFill="1" applyBorder="1"/>
    <xf numFmtId="164" fontId="8" fillId="3" borderId="10" xfId="1" applyFont="1" applyFill="1" applyBorder="1"/>
    <xf numFmtId="2" fontId="8" fillId="3" borderId="11" xfId="1" applyNumberFormat="1" applyFont="1" applyFill="1" applyBorder="1"/>
    <xf numFmtId="164" fontId="8" fillId="3" borderId="11" xfId="1" applyFont="1" applyFill="1" applyBorder="1"/>
    <xf numFmtId="164" fontId="8" fillId="3" borderId="12" xfId="1" applyFont="1" applyFill="1" applyBorder="1"/>
    <xf numFmtId="164" fontId="7" fillId="2" borderId="10" xfId="1" applyFont="1" applyFill="1" applyBorder="1"/>
    <xf numFmtId="164" fontId="7" fillId="2" borderId="13" xfId="1" applyFont="1" applyFill="1" applyBorder="1"/>
    <xf numFmtId="164" fontId="8" fillId="2" borderId="25" xfId="1" applyFont="1" applyFill="1" applyBorder="1"/>
    <xf numFmtId="164" fontId="8" fillId="3" borderId="25" xfId="1" applyFont="1" applyFill="1" applyBorder="1"/>
    <xf numFmtId="0" fontId="11" fillId="0" borderId="0" xfId="0" applyFont="1"/>
    <xf numFmtId="0" fontId="12" fillId="0" borderId="0" xfId="2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41" fontId="13" fillId="0" borderId="0" xfId="5" applyFont="1" applyFill="1" applyBorder="1" applyAlignment="1">
      <alignment vertical="center"/>
    </xf>
    <xf numFmtId="0" fontId="13" fillId="0" borderId="0" xfId="5" applyNumberFormat="1" applyFont="1" applyFill="1" applyBorder="1" applyAlignment="1">
      <alignment vertical="center"/>
    </xf>
    <xf numFmtId="0" fontId="9" fillId="0" borderId="0" xfId="7" applyFont="1"/>
    <xf numFmtId="0" fontId="14" fillId="0" borderId="0" xfId="2" applyFont="1" applyFill="1" applyBorder="1" applyAlignment="1">
      <alignment horizontal="center"/>
    </xf>
    <xf numFmtId="41" fontId="15" fillId="0" borderId="0" xfId="5" applyFont="1" applyFill="1" applyBorder="1" applyAlignment="1">
      <alignment horizontal="right"/>
    </xf>
    <xf numFmtId="0" fontId="15" fillId="0" borderId="0" xfId="8" applyFont="1" applyAlignment="1">
      <alignment horizontal="center"/>
    </xf>
    <xf numFmtId="0" fontId="9" fillId="0" borderId="0" xfId="8" applyFont="1"/>
    <xf numFmtId="167" fontId="11" fillId="0" borderId="0" xfId="9" applyNumberFormat="1" applyFont="1"/>
    <xf numFmtId="0" fontId="7" fillId="0" borderId="41" xfId="8" applyFont="1" applyBorder="1" applyAlignment="1">
      <alignment horizontal="center" vertical="center"/>
    </xf>
    <xf numFmtId="0" fontId="9" fillId="0" borderId="19" xfId="8" applyFont="1" applyBorder="1" applyAlignment="1">
      <alignment vertical="center"/>
    </xf>
    <xf numFmtId="0" fontId="9" fillId="0" borderId="35" xfId="8" applyFont="1" applyBorder="1" applyAlignment="1">
      <alignment vertical="center"/>
    </xf>
    <xf numFmtId="0" fontId="9" fillId="0" borderId="51" xfId="8" applyFont="1" applyBorder="1" applyAlignment="1">
      <alignment vertical="center"/>
    </xf>
    <xf numFmtId="0" fontId="9" fillId="0" borderId="53" xfId="8" applyFont="1" applyBorder="1" applyAlignment="1">
      <alignment vertical="center"/>
    </xf>
    <xf numFmtId="0" fontId="15" fillId="0" borderId="55" xfId="8" applyFont="1" applyBorder="1" applyAlignment="1">
      <alignment horizontal="center" vertical="center"/>
    </xf>
    <xf numFmtId="0" fontId="9" fillId="0" borderId="47" xfId="8" applyFont="1" applyBorder="1" applyAlignment="1">
      <alignment vertical="center"/>
    </xf>
    <xf numFmtId="0" fontId="15" fillId="0" borderId="56" xfId="8" applyFont="1" applyBorder="1" applyAlignment="1">
      <alignment vertical="center"/>
    </xf>
    <xf numFmtId="0" fontId="15" fillId="0" borderId="46" xfId="8" applyFont="1" applyBorder="1" applyAlignment="1">
      <alignment vertical="center"/>
    </xf>
    <xf numFmtId="167" fontId="15" fillId="0" borderId="47" xfId="9" applyNumberFormat="1" applyFont="1" applyBorder="1" applyAlignment="1">
      <alignment vertical="center"/>
    </xf>
    <xf numFmtId="167" fontId="15" fillId="0" borderId="48" xfId="9" applyNumberFormat="1" applyFont="1" applyBorder="1" applyAlignment="1">
      <alignment vertical="center"/>
    </xf>
    <xf numFmtId="0" fontId="15" fillId="0" borderId="57" xfId="8" applyFont="1" applyBorder="1" applyAlignment="1">
      <alignment horizontal="center" vertical="center"/>
    </xf>
    <xf numFmtId="0" fontId="9" fillId="0" borderId="34" xfId="8" applyFont="1" applyBorder="1" applyAlignment="1">
      <alignment vertical="center"/>
    </xf>
    <xf numFmtId="0" fontId="15" fillId="0" borderId="35" xfId="8" applyFont="1" applyBorder="1" applyAlignment="1">
      <alignment vertical="center"/>
    </xf>
    <xf numFmtId="0" fontId="15" fillId="0" borderId="33" xfId="8" applyFont="1" applyBorder="1" applyAlignment="1">
      <alignment vertical="center"/>
    </xf>
    <xf numFmtId="167" fontId="15" fillId="0" borderId="34" xfId="9" applyNumberFormat="1" applyFont="1" applyBorder="1" applyAlignment="1">
      <alignment vertical="center"/>
    </xf>
    <xf numFmtId="167" fontId="15" fillId="0" borderId="49" xfId="9" applyNumberFormat="1" applyFont="1" applyBorder="1" applyAlignment="1">
      <alignment vertical="center"/>
    </xf>
    <xf numFmtId="167" fontId="15" fillId="0" borderId="34" xfId="9" applyNumberFormat="1" applyFont="1" applyBorder="1" applyAlignment="1">
      <alignment horizontal="center" vertical="center"/>
    </xf>
    <xf numFmtId="0" fontId="15" fillId="0" borderId="58" xfId="8" applyFont="1" applyBorder="1" applyAlignment="1">
      <alignment horizontal="center" vertical="center"/>
    </xf>
    <xf numFmtId="0" fontId="9" fillId="0" borderId="52" xfId="8" applyFont="1" applyBorder="1" applyAlignment="1">
      <alignment vertical="center"/>
    </xf>
    <xf numFmtId="0" fontId="15" fillId="0" borderId="53" xfId="8" applyFont="1" applyBorder="1" applyAlignment="1">
      <alignment vertical="center"/>
    </xf>
    <xf numFmtId="0" fontId="15" fillId="0" borderId="59" xfId="8" applyFont="1" applyBorder="1" applyAlignment="1">
      <alignment vertical="center"/>
    </xf>
    <xf numFmtId="167" fontId="15" fillId="0" borderId="52" xfId="9" applyNumberFormat="1" applyFont="1" applyBorder="1" applyAlignment="1">
      <alignment vertical="center"/>
    </xf>
    <xf numFmtId="167" fontId="15" fillId="0" borderId="54" xfId="9" quotePrefix="1" applyNumberFormat="1" applyFont="1" applyBorder="1" applyAlignment="1">
      <alignment vertical="center"/>
    </xf>
    <xf numFmtId="0" fontId="9" fillId="0" borderId="62" xfId="8" applyFont="1" applyBorder="1" applyAlignment="1">
      <alignment vertical="center"/>
    </xf>
    <xf numFmtId="164" fontId="9" fillId="0" borderId="23" xfId="8" applyNumberFormat="1" applyFont="1" applyBorder="1" applyAlignment="1">
      <alignment horizontal="center" vertical="center"/>
    </xf>
    <xf numFmtId="41" fontId="9" fillId="0" borderId="33" xfId="8" applyNumberFormat="1" applyFont="1" applyBorder="1" applyAlignment="1">
      <alignment horizontal="left" vertical="center"/>
    </xf>
    <xf numFmtId="164" fontId="15" fillId="0" borderId="36" xfId="8" applyNumberFormat="1" applyFont="1" applyBorder="1" applyAlignment="1">
      <alignment horizontal="center" vertical="center"/>
    </xf>
    <xf numFmtId="0" fontId="9" fillId="0" borderId="31" xfId="8" applyFont="1" applyBorder="1" applyAlignment="1">
      <alignment vertical="center"/>
    </xf>
    <xf numFmtId="0" fontId="9" fillId="0" borderId="23" xfId="8" applyFont="1" applyBorder="1" applyAlignment="1">
      <alignment horizontal="center" vertical="center"/>
    </xf>
    <xf numFmtId="164" fontId="9" fillId="0" borderId="50" xfId="8" applyNumberFormat="1" applyFont="1" applyBorder="1" applyAlignment="1">
      <alignment horizontal="center" vertical="center"/>
    </xf>
    <xf numFmtId="0" fontId="15" fillId="3" borderId="26" xfId="8" applyFont="1" applyFill="1" applyBorder="1" applyAlignment="1">
      <alignment horizontal="center" vertical="center"/>
    </xf>
    <xf numFmtId="0" fontId="9" fillId="3" borderId="64" xfId="8" applyFont="1" applyFill="1" applyBorder="1" applyAlignment="1">
      <alignment vertical="center"/>
    </xf>
    <xf numFmtId="0" fontId="9" fillId="3" borderId="28" xfId="8" applyFont="1" applyFill="1" applyBorder="1" applyAlignment="1">
      <alignment vertical="center"/>
    </xf>
    <xf numFmtId="167" fontId="11" fillId="3" borderId="0" xfId="9" applyNumberFormat="1" applyFont="1" applyFill="1" applyBorder="1" applyAlignment="1">
      <alignment vertical="center"/>
    </xf>
    <xf numFmtId="167" fontId="11" fillId="3" borderId="40" xfId="9" applyNumberFormat="1" applyFont="1" applyFill="1" applyBorder="1" applyAlignment="1">
      <alignment vertical="center"/>
    </xf>
    <xf numFmtId="0" fontId="9" fillId="0" borderId="65" xfId="8" applyFont="1" applyBorder="1" applyAlignment="1">
      <alignment horizontal="center" vertical="center"/>
    </xf>
    <xf numFmtId="0" fontId="9" fillId="0" borderId="60" xfId="8" applyFont="1" applyBorder="1" applyAlignment="1">
      <alignment vertical="center"/>
    </xf>
    <xf numFmtId="167" fontId="11" fillId="0" borderId="60" xfId="9" applyNumberFormat="1" applyFont="1" applyBorder="1" applyAlignment="1">
      <alignment vertical="center"/>
    </xf>
    <xf numFmtId="167" fontId="11" fillId="0" borderId="66" xfId="9" applyNumberFormat="1" applyFont="1" applyBorder="1" applyAlignment="1">
      <alignment vertical="center"/>
    </xf>
    <xf numFmtId="167" fontId="11" fillId="0" borderId="19" xfId="9" applyNumberFormat="1" applyFont="1" applyBorder="1" applyAlignment="1">
      <alignment vertical="center"/>
    </xf>
    <xf numFmtId="167" fontId="11" fillId="0" borderId="20" xfId="9" applyNumberFormat="1" applyFont="1" applyBorder="1" applyAlignment="1">
      <alignment vertical="center"/>
    </xf>
    <xf numFmtId="167" fontId="11" fillId="0" borderId="37" xfId="9" applyNumberFormat="1" applyFont="1" applyBorder="1" applyAlignment="1">
      <alignment vertical="center"/>
    </xf>
    <xf numFmtId="167" fontId="11" fillId="0" borderId="38" xfId="9" applyNumberFormat="1" applyFont="1" applyBorder="1" applyAlignment="1">
      <alignment vertical="center"/>
    </xf>
    <xf numFmtId="164" fontId="9" fillId="3" borderId="23" xfId="8" applyNumberFormat="1" applyFont="1" applyFill="1" applyBorder="1" applyAlignment="1">
      <alignment horizontal="center" vertical="center"/>
    </xf>
    <xf numFmtId="0" fontId="9" fillId="3" borderId="19" xfId="8" applyFont="1" applyFill="1" applyBorder="1" applyAlignment="1">
      <alignment vertical="center"/>
    </xf>
    <xf numFmtId="167" fontId="11" fillId="3" borderId="19" xfId="9" applyNumberFormat="1" applyFont="1" applyFill="1" applyBorder="1" applyAlignment="1">
      <alignment vertical="center"/>
    </xf>
    <xf numFmtId="167" fontId="11" fillId="3" borderId="20" xfId="9" applyNumberFormat="1" applyFont="1" applyFill="1" applyBorder="1" applyAlignment="1">
      <alignment vertical="center"/>
    </xf>
    <xf numFmtId="41" fontId="15" fillId="3" borderId="63" xfId="8" applyNumberFormat="1" applyFont="1" applyFill="1" applyBorder="1" applyAlignment="1">
      <alignment horizontal="left" vertical="center"/>
    </xf>
    <xf numFmtId="0" fontId="9" fillId="3" borderId="35" xfId="8" applyFont="1" applyFill="1" applyBorder="1" applyAlignment="1">
      <alignment vertical="center"/>
    </xf>
    <xf numFmtId="41" fontId="9" fillId="0" borderId="61" xfId="8" applyNumberFormat="1" applyFont="1" applyBorder="1" applyAlignment="1">
      <alignment horizontal="left" vertical="center"/>
    </xf>
    <xf numFmtId="164" fontId="9" fillId="0" borderId="33" xfId="8" applyNumberFormat="1" applyFont="1" applyBorder="1" applyAlignment="1">
      <alignment horizontal="left" vertical="center"/>
    </xf>
    <xf numFmtId="164" fontId="15" fillId="3" borderId="33" xfId="8" applyNumberFormat="1" applyFont="1" applyFill="1" applyBorder="1" applyAlignment="1">
      <alignment horizontal="left" vertical="center"/>
    </xf>
    <xf numFmtId="164" fontId="9" fillId="0" borderId="29" xfId="8" applyNumberFormat="1" applyFont="1" applyBorder="1" applyAlignment="1">
      <alignment horizontal="left" vertical="center"/>
    </xf>
    <xf numFmtId="167" fontId="11" fillId="0" borderId="51" xfId="9" applyNumberFormat="1" applyFont="1" applyBorder="1" applyAlignment="1">
      <alignment vertical="center"/>
    </xf>
    <xf numFmtId="167" fontId="11" fillId="0" borderId="67" xfId="9" applyNumberFormat="1" applyFont="1" applyBorder="1" applyAlignment="1">
      <alignment vertical="center"/>
    </xf>
    <xf numFmtId="164" fontId="15" fillId="0" borderId="59" xfId="8" applyNumberFormat="1" applyFont="1" applyBorder="1" applyAlignment="1">
      <alignment horizontal="center" vertical="center"/>
    </xf>
    <xf numFmtId="164" fontId="7" fillId="3" borderId="68" xfId="1" applyFont="1" applyFill="1" applyBorder="1"/>
    <xf numFmtId="164" fontId="7" fillId="3" borderId="69" xfId="1" applyFont="1" applyFill="1" applyBorder="1"/>
    <xf numFmtId="164" fontId="7" fillId="2" borderId="68" xfId="1" applyFont="1" applyFill="1" applyBorder="1"/>
    <xf numFmtId="164" fontId="7" fillId="2" borderId="69" xfId="1" applyFont="1" applyFill="1" applyBorder="1"/>
    <xf numFmtId="164" fontId="8" fillId="2" borderId="70" xfId="1" applyFont="1" applyFill="1" applyBorder="1"/>
    <xf numFmtId="164" fontId="8" fillId="2" borderId="71" xfId="1" applyFont="1" applyFill="1" applyBorder="1"/>
    <xf numFmtId="164" fontId="8" fillId="2" borderId="72" xfId="1" applyFont="1" applyFill="1" applyBorder="1"/>
    <xf numFmtId="164" fontId="8" fillId="2" borderId="73" xfId="1" applyFont="1" applyFill="1" applyBorder="1"/>
    <xf numFmtId="164" fontId="8" fillId="2" borderId="35" xfId="1" applyFont="1" applyFill="1" applyBorder="1"/>
    <xf numFmtId="164" fontId="8" fillId="2" borderId="74" xfId="1" applyFont="1" applyFill="1" applyBorder="1"/>
    <xf numFmtId="164" fontId="8" fillId="2" borderId="75" xfId="1" applyFont="1" applyFill="1" applyBorder="1"/>
    <xf numFmtId="164" fontId="8" fillId="2" borderId="46" xfId="1" applyFont="1" applyFill="1" applyBorder="1"/>
    <xf numFmtId="164" fontId="8" fillId="2" borderId="56" xfId="1" applyFont="1" applyFill="1" applyBorder="1"/>
    <xf numFmtId="164" fontId="7" fillId="2" borderId="70" xfId="1" applyFont="1" applyFill="1" applyBorder="1"/>
    <xf numFmtId="164" fontId="7" fillId="2" borderId="71" xfId="1" applyFont="1" applyFill="1" applyBorder="1"/>
    <xf numFmtId="41" fontId="8" fillId="2" borderId="70" xfId="6" applyNumberFormat="1" applyFont="1" applyFill="1" applyBorder="1"/>
    <xf numFmtId="41" fontId="8" fillId="2" borderId="75" xfId="6" applyNumberFormat="1" applyFont="1" applyFill="1" applyBorder="1"/>
    <xf numFmtId="41" fontId="8" fillId="0" borderId="70" xfId="6" applyNumberFormat="1" applyFont="1" applyFill="1" applyBorder="1"/>
    <xf numFmtId="41" fontId="8" fillId="0" borderId="71" xfId="6" applyNumberFormat="1" applyFont="1" applyFill="1" applyBorder="1"/>
    <xf numFmtId="41" fontId="8" fillId="0" borderId="72" xfId="6" applyNumberFormat="1" applyFont="1" applyFill="1" applyBorder="1"/>
    <xf numFmtId="41" fontId="8" fillId="0" borderId="73" xfId="6" applyNumberFormat="1" applyFont="1" applyFill="1" applyBorder="1"/>
    <xf numFmtId="164" fontId="8" fillId="2" borderId="69" xfId="1" applyFont="1" applyFill="1" applyBorder="1"/>
    <xf numFmtId="164" fontId="8" fillId="2" borderId="68" xfId="1" applyFont="1" applyFill="1" applyBorder="1"/>
    <xf numFmtId="41" fontId="8" fillId="2" borderId="70" xfId="5" applyFont="1" applyFill="1" applyBorder="1"/>
    <xf numFmtId="41" fontId="8" fillId="2" borderId="71" xfId="5" applyFont="1" applyFill="1" applyBorder="1"/>
    <xf numFmtId="164" fontId="8" fillId="2" borderId="39" xfId="1" applyFont="1" applyFill="1" applyBorder="1"/>
    <xf numFmtId="164" fontId="7" fillId="3" borderId="74" xfId="1" applyFont="1" applyFill="1" applyBorder="1"/>
    <xf numFmtId="164" fontId="7" fillId="3" borderId="39" xfId="1" applyFont="1" applyFill="1" applyBorder="1"/>
    <xf numFmtId="164" fontId="8" fillId="2" borderId="59" xfId="1" applyFont="1" applyFill="1" applyBorder="1"/>
    <xf numFmtId="164" fontId="8" fillId="2" borderId="53" xfId="1" applyFont="1" applyFill="1" applyBorder="1"/>
    <xf numFmtId="164" fontId="7" fillId="2" borderId="6" xfId="1" quotePrefix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9" fillId="0" borderId="0" xfId="2" applyFont="1"/>
    <xf numFmtId="0" fontId="9" fillId="0" borderId="0" xfId="2" applyNumberFormat="1" applyFont="1"/>
    <xf numFmtId="0" fontId="17" fillId="0" borderId="79" xfId="2" applyFont="1" applyFill="1" applyBorder="1" applyAlignment="1">
      <alignment horizontal="center"/>
    </xf>
    <xf numFmtId="0" fontId="9" fillId="0" borderId="19" xfId="0" applyFont="1" applyBorder="1"/>
    <xf numFmtId="0" fontId="17" fillId="0" borderId="19" xfId="2" applyFont="1" applyFill="1" applyBorder="1" applyAlignment="1">
      <alignment horizontal="center"/>
    </xf>
    <xf numFmtId="43" fontId="9" fillId="0" borderId="80" xfId="9" applyFont="1" applyFill="1" applyBorder="1"/>
    <xf numFmtId="43" fontId="9" fillId="0" borderId="80" xfId="9" applyNumberFormat="1" applyFont="1" applyFill="1" applyBorder="1"/>
    <xf numFmtId="0" fontId="17" fillId="0" borderId="81" xfId="2" applyFont="1" applyFill="1" applyBorder="1" applyAlignment="1">
      <alignment horizontal="center"/>
    </xf>
    <xf numFmtId="0" fontId="9" fillId="0" borderId="82" xfId="0" applyFont="1" applyBorder="1"/>
    <xf numFmtId="0" fontId="17" fillId="0" borderId="82" xfId="2" applyFont="1" applyFill="1" applyBorder="1" applyAlignment="1">
      <alignment horizontal="center"/>
    </xf>
    <xf numFmtId="43" fontId="9" fillId="0" borderId="83" xfId="9" applyNumberFormat="1" applyFont="1" applyFill="1" applyBorder="1"/>
    <xf numFmtId="4" fontId="18" fillId="2" borderId="78" xfId="0" applyNumberFormat="1" applyFont="1" applyFill="1" applyBorder="1" applyAlignment="1">
      <alignment vertical="center"/>
    </xf>
    <xf numFmtId="4" fontId="18" fillId="2" borderId="80" xfId="0" applyNumberFormat="1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18" fillId="4" borderId="97" xfId="0" applyFont="1" applyFill="1" applyBorder="1"/>
    <xf numFmtId="0" fontId="18" fillId="4" borderId="98" xfId="0" applyFont="1" applyFill="1" applyBorder="1"/>
    <xf numFmtId="4" fontId="18" fillId="4" borderId="99" xfId="0" applyNumberFormat="1" applyFont="1" applyFill="1" applyBorder="1"/>
    <xf numFmtId="0" fontId="19" fillId="2" borderId="100" xfId="0" applyFont="1" applyFill="1" applyBorder="1"/>
    <xf numFmtId="0" fontId="19" fillId="2" borderId="14" xfId="0" applyFont="1" applyFill="1" applyBorder="1"/>
    <xf numFmtId="4" fontId="19" fillId="2" borderId="101" xfId="0" applyNumberFormat="1" applyFont="1" applyFill="1" applyBorder="1"/>
    <xf numFmtId="0" fontId="18" fillId="4" borderId="100" xfId="0" applyFont="1" applyFill="1" applyBorder="1"/>
    <xf numFmtId="0" fontId="18" fillId="4" borderId="14" xfId="0" applyFont="1" applyFill="1" applyBorder="1"/>
    <xf numFmtId="4" fontId="18" fillId="4" borderId="101" xfId="0" applyNumberFormat="1" applyFont="1" applyFill="1" applyBorder="1"/>
    <xf numFmtId="0" fontId="20" fillId="0" borderId="100" xfId="0" applyFont="1" applyFill="1" applyBorder="1" applyAlignment="1">
      <alignment horizontal="center" vertical="center"/>
    </xf>
    <xf numFmtId="43" fontId="21" fillId="0" borderId="14" xfId="9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43" fontId="17" fillId="0" borderId="101" xfId="9" applyFont="1" applyFill="1" applyBorder="1" applyAlignment="1">
      <alignment vertical="center"/>
    </xf>
    <xf numFmtId="0" fontId="17" fillId="0" borderId="100" xfId="0" applyFont="1" applyFill="1" applyBorder="1" applyAlignment="1">
      <alignment horizontal="center" vertical="center"/>
    </xf>
    <xf numFmtId="43" fontId="17" fillId="0" borderId="14" xfId="9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43" fontId="17" fillId="0" borderId="101" xfId="9" applyNumberFormat="1" applyFont="1" applyFill="1" applyBorder="1" applyAlignment="1">
      <alignment vertical="center"/>
    </xf>
    <xf numFmtId="43" fontId="17" fillId="0" borderId="14" xfId="9" applyFont="1" applyFill="1" applyBorder="1" applyAlignment="1">
      <alignment horizontal="left" vertical="center" wrapText="1"/>
    </xf>
    <xf numFmtId="0" fontId="19" fillId="2" borderId="102" xfId="0" applyFont="1" applyFill="1" applyBorder="1"/>
    <xf numFmtId="0" fontId="19" fillId="2" borderId="103" xfId="0" applyFont="1" applyFill="1" applyBorder="1"/>
    <xf numFmtId="4" fontId="19" fillId="2" borderId="104" xfId="0" applyNumberFormat="1" applyFont="1" applyFill="1" applyBorder="1"/>
    <xf numFmtId="164" fontId="8" fillId="2" borderId="11" xfId="1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10" fillId="0" borderId="0" xfId="2" applyFont="1" applyFill="1" applyBorder="1" applyAlignment="1">
      <alignment horizontal="center"/>
    </xf>
    <xf numFmtId="0" fontId="7" fillId="0" borderId="42" xfId="8" applyFont="1" applyBorder="1" applyAlignment="1">
      <alignment horizontal="center" vertical="center"/>
    </xf>
    <xf numFmtId="0" fontId="7" fillId="0" borderId="43" xfId="8" applyFont="1" applyBorder="1" applyAlignment="1">
      <alignment horizontal="center" vertical="center"/>
    </xf>
    <xf numFmtId="0" fontId="7" fillId="0" borderId="44" xfId="8" applyFont="1" applyBorder="1" applyAlignment="1">
      <alignment horizontal="center" vertical="center"/>
    </xf>
    <xf numFmtId="0" fontId="7" fillId="0" borderId="45" xfId="8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/>
    </xf>
    <xf numFmtId="164" fontId="7" fillId="2" borderId="4" xfId="1" applyFont="1" applyFill="1" applyBorder="1" applyAlignment="1">
      <alignment horizontal="center"/>
    </xf>
    <xf numFmtId="164" fontId="7" fillId="2" borderId="8" xfId="1" quotePrefix="1" applyFont="1" applyFill="1" applyBorder="1" applyAlignment="1">
      <alignment horizontal="center"/>
    </xf>
    <xf numFmtId="164" fontId="7" fillId="2" borderId="9" xfId="1" applyFont="1" applyFill="1" applyBorder="1" applyAlignment="1">
      <alignment horizontal="center"/>
    </xf>
    <xf numFmtId="0" fontId="18" fillId="2" borderId="76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7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16" fillId="0" borderId="76" xfId="2" applyFont="1" applyFill="1" applyBorder="1" applyAlignment="1">
      <alignment horizontal="center" vertical="center"/>
    </xf>
    <xf numFmtId="0" fontId="16" fillId="0" borderId="79" xfId="2" applyFont="1" applyFill="1" applyBorder="1" applyAlignment="1">
      <alignment horizontal="center" vertical="center"/>
    </xf>
    <xf numFmtId="0" fontId="16" fillId="0" borderId="77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43" fontId="16" fillId="0" borderId="78" xfId="9" applyNumberFormat="1" applyFont="1" applyFill="1" applyBorder="1" applyAlignment="1">
      <alignment horizontal="center" vertical="center" wrapText="1"/>
    </xf>
    <xf numFmtId="43" fontId="16" fillId="0" borderId="80" xfId="9" applyNumberFormat="1" applyFont="1" applyFill="1" applyBorder="1" applyAlignment="1">
      <alignment horizontal="center" vertical="center" wrapText="1"/>
    </xf>
    <xf numFmtId="41" fontId="22" fillId="0" borderId="84" xfId="5" applyFont="1" applyFill="1" applyBorder="1" applyAlignment="1">
      <alignment vertical="center"/>
    </xf>
    <xf numFmtId="41" fontId="22" fillId="0" borderId="0" xfId="5" applyFont="1" applyFill="1" applyBorder="1" applyAlignment="1">
      <alignment vertical="center"/>
    </xf>
    <xf numFmtId="0" fontId="23" fillId="0" borderId="0" xfId="2" applyFont="1" applyFill="1" applyBorder="1" applyAlignment="1">
      <alignment horizontal="center"/>
    </xf>
    <xf numFmtId="0" fontId="1" fillId="0" borderId="0" xfId="0" applyFont="1"/>
    <xf numFmtId="0" fontId="25" fillId="0" borderId="84" xfId="2" applyFont="1" applyFill="1" applyBorder="1" applyAlignment="1">
      <alignment horizontal="center"/>
    </xf>
    <xf numFmtId="43" fontId="25" fillId="0" borderId="0" xfId="9" applyFont="1" applyFill="1" applyBorder="1" applyAlignment="1">
      <alignment horizontal="center"/>
    </xf>
    <xf numFmtId="43" fontId="25" fillId="0" borderId="0" xfId="2" applyNumberFormat="1" applyFont="1" applyFill="1" applyBorder="1"/>
    <xf numFmtId="0" fontId="24" fillId="0" borderId="85" xfId="2" applyFont="1" applyFill="1" applyBorder="1" applyAlignment="1">
      <alignment horizontal="center"/>
    </xf>
    <xf numFmtId="43" fontId="24" fillId="0" borderId="87" xfId="2" applyNumberFormat="1" applyFont="1" applyFill="1" applyBorder="1" applyAlignment="1">
      <alignment horizontal="center"/>
    </xf>
    <xf numFmtId="43" fontId="24" fillId="0" borderId="88" xfId="9" applyNumberFormat="1" applyFont="1" applyFill="1" applyBorder="1" applyAlignment="1">
      <alignment horizontal="center"/>
    </xf>
    <xf numFmtId="0" fontId="24" fillId="0" borderId="85" xfId="2" quotePrefix="1" applyFont="1" applyFill="1" applyBorder="1" applyAlignment="1">
      <alignment horizontal="center"/>
    </xf>
    <xf numFmtId="43" fontId="24" fillId="0" borderId="87" xfId="2" quotePrefix="1" applyNumberFormat="1" applyFont="1" applyFill="1" applyBorder="1" applyAlignment="1">
      <alignment horizontal="center"/>
    </xf>
    <xf numFmtId="0" fontId="25" fillId="0" borderId="13" xfId="2" applyFont="1" applyFill="1" applyBorder="1" applyAlignment="1">
      <alignment horizontal="center"/>
    </xf>
    <xf numFmtId="43" fontId="25" fillId="0" borderId="89" xfId="9" applyFont="1" applyFill="1" applyBorder="1" applyAlignment="1">
      <alignment horizontal="center"/>
    </xf>
    <xf numFmtId="0" fontId="25" fillId="0" borderId="89" xfId="2" applyFont="1" applyFill="1" applyBorder="1"/>
    <xf numFmtId="43" fontId="25" fillId="0" borderId="89" xfId="9" applyNumberFormat="1" applyFont="1" applyFill="1" applyBorder="1"/>
    <xf numFmtId="43" fontId="25" fillId="0" borderId="14" xfId="2" applyNumberFormat="1" applyFont="1" applyFill="1" applyBorder="1"/>
    <xf numFmtId="43" fontId="25" fillId="0" borderId="70" xfId="9" applyNumberFormat="1" applyFont="1" applyFill="1" applyBorder="1"/>
    <xf numFmtId="0" fontId="25" fillId="0" borderId="13" xfId="2" quotePrefix="1" applyFont="1" applyFill="1" applyBorder="1" applyAlignment="1">
      <alignment horizontal="center"/>
    </xf>
    <xf numFmtId="43" fontId="24" fillId="0" borderId="89" xfId="9" applyFont="1" applyFill="1" applyBorder="1" applyAlignment="1">
      <alignment horizontal="center"/>
    </xf>
    <xf numFmtId="0" fontId="25" fillId="0" borderId="13" xfId="2" applyFont="1" applyFill="1" applyBorder="1" applyAlignment="1">
      <alignment horizontal="left"/>
    </xf>
    <xf numFmtId="43" fontId="25" fillId="0" borderId="14" xfId="5" applyNumberFormat="1" applyFont="1" applyFill="1" applyBorder="1"/>
    <xf numFmtId="0" fontId="25" fillId="0" borderId="25" xfId="2" applyFont="1" applyFill="1" applyBorder="1" applyAlignment="1">
      <alignment horizontal="center"/>
    </xf>
    <xf numFmtId="43" fontId="25" fillId="0" borderId="90" xfId="9" applyFont="1" applyFill="1" applyBorder="1" applyAlignment="1">
      <alignment horizontal="center"/>
    </xf>
    <xf numFmtId="43" fontId="25" fillId="0" borderId="17" xfId="5" applyNumberFormat="1" applyFont="1" applyFill="1" applyBorder="1"/>
    <xf numFmtId="43" fontId="25" fillId="0" borderId="74" xfId="9" applyNumberFormat="1" applyFont="1" applyFill="1" applyBorder="1"/>
    <xf numFmtId="0" fontId="25" fillId="0" borderId="92" xfId="2" applyFont="1" applyFill="1" applyBorder="1" applyAlignment="1">
      <alignment horizontal="center"/>
    </xf>
    <xf numFmtId="43" fontId="25" fillId="0" borderId="93" xfId="9" applyFont="1" applyFill="1" applyBorder="1" applyAlignment="1">
      <alignment horizontal="center"/>
    </xf>
    <xf numFmtId="43" fontId="25" fillId="0" borderId="93" xfId="9" applyNumberFormat="1" applyFont="1" applyFill="1" applyBorder="1"/>
    <xf numFmtId="43" fontId="25" fillId="0" borderId="94" xfId="2" applyNumberFormat="1" applyFont="1" applyFill="1" applyBorder="1"/>
    <xf numFmtId="43" fontId="25" fillId="0" borderId="95" xfId="9" applyNumberFormat="1" applyFont="1" applyFill="1" applyBorder="1"/>
    <xf numFmtId="0" fontId="25" fillId="0" borderId="10" xfId="2" applyFont="1" applyFill="1" applyBorder="1" applyAlignment="1">
      <alignment horizontal="center"/>
    </xf>
    <xf numFmtId="43" fontId="25" fillId="0" borderId="96" xfId="9" applyFont="1" applyFill="1" applyBorder="1" applyAlignment="1">
      <alignment horizontal="center"/>
    </xf>
    <xf numFmtId="43" fontId="25" fillId="0" borderId="96" xfId="9" applyNumberFormat="1" applyFont="1" applyFill="1" applyBorder="1"/>
    <xf numFmtId="43" fontId="25" fillId="0" borderId="11" xfId="5" applyNumberFormat="1" applyFont="1" applyFill="1" applyBorder="1"/>
    <xf numFmtId="43" fontId="25" fillId="0" borderId="68" xfId="9" applyNumberFormat="1" applyFont="1" applyFill="1" applyBorder="1"/>
    <xf numFmtId="0" fontId="25" fillId="0" borderId="16" xfId="2" applyFont="1" applyFill="1" applyBorder="1" applyAlignment="1">
      <alignment horizontal="center"/>
    </xf>
    <xf numFmtId="43" fontId="25" fillId="0" borderId="91" xfId="9" applyFont="1" applyFill="1" applyBorder="1" applyAlignment="1">
      <alignment horizontal="center"/>
    </xf>
    <xf numFmtId="43" fontId="25" fillId="0" borderId="91" xfId="9" applyNumberFormat="1" applyFont="1" applyFill="1" applyBorder="1"/>
    <xf numFmtId="43" fontId="24" fillId="0" borderId="17" xfId="2" applyNumberFormat="1" applyFont="1" applyFill="1" applyBorder="1"/>
    <xf numFmtId="43" fontId="24" fillId="0" borderId="72" xfId="9" applyNumberFormat="1" applyFont="1" applyFill="1" applyBorder="1"/>
    <xf numFmtId="0" fontId="25" fillId="0" borderId="94" xfId="2" quotePrefix="1" applyFont="1" applyFill="1" applyBorder="1" applyAlignment="1">
      <alignment horizontal="center"/>
    </xf>
    <xf numFmtId="43" fontId="24" fillId="0" borderId="93" xfId="9" applyFont="1" applyFill="1" applyBorder="1" applyAlignment="1">
      <alignment horizontal="center"/>
    </xf>
    <xf numFmtId="0" fontId="24" fillId="0" borderId="93" xfId="0" applyFont="1" applyBorder="1"/>
    <xf numFmtId="0" fontId="25" fillId="0" borderId="14" xfId="2" applyFont="1" applyFill="1" applyBorder="1" applyAlignment="1">
      <alignment horizontal="left"/>
    </xf>
    <xf numFmtId="0" fontId="25" fillId="0" borderId="89" xfId="2" applyFont="1" applyFill="1" applyBorder="1" applyAlignment="1">
      <alignment horizontal="center"/>
    </xf>
    <xf numFmtId="4" fontId="25" fillId="0" borderId="89" xfId="2" quotePrefix="1" applyNumberFormat="1" applyFont="1" applyFill="1" applyBorder="1" applyAlignment="1">
      <alignment horizontal="right"/>
    </xf>
    <xf numFmtId="0" fontId="25" fillId="0" borderId="14" xfId="2" applyFont="1" applyFill="1" applyBorder="1" applyAlignment="1">
      <alignment horizontal="center"/>
    </xf>
    <xf numFmtId="0" fontId="25" fillId="0" borderId="94" xfId="2" applyFont="1" applyFill="1" applyBorder="1" applyAlignment="1">
      <alignment horizontal="center"/>
    </xf>
    <xf numFmtId="0" fontId="25" fillId="0" borderId="11" xfId="2" applyFont="1" applyFill="1" applyBorder="1" applyAlignment="1">
      <alignment horizontal="center"/>
    </xf>
    <xf numFmtId="0" fontId="25" fillId="0" borderId="17" xfId="2" applyFont="1" applyFill="1" applyBorder="1" applyAlignment="1">
      <alignment horizontal="center"/>
    </xf>
    <xf numFmtId="0" fontId="25" fillId="0" borderId="105" xfId="2" applyFont="1" applyFill="1" applyBorder="1" applyAlignment="1">
      <alignment horizontal="center"/>
    </xf>
    <xf numFmtId="0" fontId="25" fillId="0" borderId="107" xfId="2" applyFont="1" applyFill="1" applyBorder="1" applyAlignment="1">
      <alignment horizontal="center"/>
    </xf>
    <xf numFmtId="43" fontId="25" fillId="0" borderId="108" xfId="9" applyNumberFormat="1" applyFont="1" applyFill="1" applyBorder="1"/>
    <xf numFmtId="43" fontId="25" fillId="0" borderId="98" xfId="2" applyNumberFormat="1" applyFont="1" applyFill="1" applyBorder="1"/>
    <xf numFmtId="43" fontId="25" fillId="0" borderId="98" xfId="9" applyNumberFormat="1" applyFont="1" applyFill="1" applyBorder="1"/>
    <xf numFmtId="43" fontId="25" fillId="0" borderId="71" xfId="9" applyNumberFormat="1" applyFont="1" applyFill="1" applyBorder="1"/>
    <xf numFmtId="43" fontId="25" fillId="0" borderId="14" xfId="9" applyNumberFormat="1" applyFont="1" applyFill="1" applyBorder="1"/>
    <xf numFmtId="169" fontId="26" fillId="0" borderId="96" xfId="2" applyNumberFormat="1" applyFont="1" applyFill="1" applyBorder="1"/>
    <xf numFmtId="43" fontId="25" fillId="0" borderId="69" xfId="9" applyNumberFormat="1" applyFont="1" applyFill="1" applyBorder="1"/>
    <xf numFmtId="0" fontId="25" fillId="0" borderId="90" xfId="2" applyFont="1" applyFill="1" applyBorder="1" applyAlignment="1">
      <alignment horizontal="center"/>
    </xf>
    <xf numFmtId="43" fontId="25" fillId="0" borderId="21" xfId="9" applyNumberFormat="1" applyFont="1" applyFill="1" applyBorder="1"/>
    <xf numFmtId="0" fontId="25" fillId="0" borderId="84" xfId="2" applyFont="1" applyFill="1" applyBorder="1"/>
    <xf numFmtId="0" fontId="25" fillId="0" borderId="30" xfId="2" applyFont="1" applyFill="1" applyBorder="1" applyAlignment="1">
      <alignment horizontal="center"/>
    </xf>
    <xf numFmtId="43" fontId="25" fillId="0" borderId="30" xfId="9" applyNumberFormat="1" applyFont="1" applyFill="1" applyBorder="1"/>
    <xf numFmtId="43" fontId="25" fillId="0" borderId="51" xfId="2" applyNumberFormat="1" applyFont="1" applyFill="1" applyBorder="1"/>
    <xf numFmtId="43" fontId="25" fillId="0" borderId="29" xfId="9" applyNumberFormat="1" applyFont="1" applyFill="1" applyBorder="1"/>
    <xf numFmtId="0" fontId="25" fillId="0" borderId="25" xfId="2" quotePrefix="1" applyFont="1" applyFill="1" applyBorder="1" applyAlignment="1">
      <alignment horizontal="center"/>
    </xf>
    <xf numFmtId="43" fontId="25" fillId="0" borderId="21" xfId="5" applyNumberFormat="1" applyFont="1" applyFill="1" applyBorder="1"/>
    <xf numFmtId="43" fontId="25" fillId="0" borderId="0" xfId="9" applyNumberFormat="1" applyFont="1" applyFill="1" applyBorder="1"/>
    <xf numFmtId="43" fontId="25" fillId="0" borderId="27" xfId="2" applyNumberFormat="1" applyFont="1" applyFill="1" applyBorder="1"/>
    <xf numFmtId="43" fontId="25" fillId="0" borderId="28" xfId="9" applyNumberFormat="1" applyFont="1" applyFill="1" applyBorder="1"/>
    <xf numFmtId="0" fontId="25" fillId="0" borderId="21" xfId="2" applyFont="1" applyFill="1" applyBorder="1" applyAlignment="1">
      <alignment horizontal="center"/>
    </xf>
    <xf numFmtId="43" fontId="26" fillId="0" borderId="89" xfId="2" applyNumberFormat="1" applyFont="1" applyFill="1" applyBorder="1"/>
    <xf numFmtId="0" fontId="25" fillId="0" borderId="26" xfId="2" applyFont="1" applyFill="1" applyBorder="1" applyAlignment="1">
      <alignment horizontal="center"/>
    </xf>
    <xf numFmtId="43" fontId="25" fillId="0" borderId="89" xfId="2" applyNumberFormat="1" applyFont="1" applyFill="1" applyBorder="1"/>
    <xf numFmtId="0" fontId="25" fillId="0" borderId="89" xfId="5" applyNumberFormat="1" applyFont="1" applyFill="1" applyBorder="1" applyAlignment="1">
      <alignment wrapText="1"/>
    </xf>
    <xf numFmtId="0" fontId="25" fillId="0" borderId="89" xfId="2" applyNumberFormat="1" applyFont="1" applyFill="1" applyBorder="1" applyAlignment="1">
      <alignment vertical="center" wrapText="1"/>
    </xf>
    <xf numFmtId="43" fontId="25" fillId="0" borderId="17" xfId="2" applyNumberFormat="1" applyFont="1" applyFill="1" applyBorder="1"/>
    <xf numFmtId="43" fontId="25" fillId="0" borderId="72" xfId="9" applyNumberFormat="1" applyFont="1" applyFill="1" applyBorder="1"/>
    <xf numFmtId="0" fontId="25" fillId="0" borderId="0" xfId="2" applyFont="1" applyFill="1" applyBorder="1" applyAlignment="1">
      <alignment horizontal="center"/>
    </xf>
    <xf numFmtId="43" fontId="25" fillId="0" borderId="27" xfId="5" applyNumberFormat="1" applyFont="1" applyFill="1" applyBorder="1"/>
    <xf numFmtId="43" fontId="25" fillId="0" borderId="90" xfId="9" applyNumberFormat="1" applyFont="1" applyFill="1" applyBorder="1"/>
    <xf numFmtId="43" fontId="25" fillId="0" borderId="21" xfId="2" applyNumberFormat="1" applyFont="1" applyFill="1" applyBorder="1"/>
    <xf numFmtId="0" fontId="25" fillId="0" borderId="89" xfId="2" applyNumberFormat="1" applyFont="1" applyFill="1" applyBorder="1" applyAlignment="1">
      <alignment horizontal="left" vertical="center" wrapText="1"/>
    </xf>
    <xf numFmtId="0" fontId="25" fillId="0" borderId="90" xfId="5" applyNumberFormat="1" applyFont="1" applyFill="1" applyBorder="1" applyAlignment="1">
      <alignment wrapText="1"/>
    </xf>
    <xf numFmtId="0" fontId="25" fillId="0" borderId="96" xfId="2" applyFont="1" applyFill="1" applyBorder="1" applyAlignment="1">
      <alignment horizontal="center"/>
    </xf>
    <xf numFmtId="43" fontId="25" fillId="0" borderId="11" xfId="2" applyNumberFormat="1" applyFont="1" applyFill="1" applyBorder="1"/>
    <xf numFmtId="170" fontId="25" fillId="0" borderId="89" xfId="5" applyNumberFormat="1" applyFont="1" applyFill="1" applyBorder="1" applyAlignment="1">
      <alignment horizontal="center" wrapText="1"/>
    </xf>
    <xf numFmtId="0" fontId="25" fillId="0" borderId="23" xfId="2" applyFont="1" applyFill="1" applyBorder="1" applyAlignment="1">
      <alignment horizontal="center"/>
    </xf>
    <xf numFmtId="43" fontId="25" fillId="0" borderId="34" xfId="9" applyFont="1" applyFill="1" applyBorder="1" applyAlignment="1">
      <alignment horizontal="center"/>
    </xf>
    <xf numFmtId="43" fontId="25" fillId="0" borderId="34" xfId="9" applyNumberFormat="1" applyFont="1" applyFill="1" applyBorder="1"/>
    <xf numFmtId="43" fontId="25" fillId="0" borderId="19" xfId="2" applyNumberFormat="1" applyFont="1" applyFill="1" applyBorder="1"/>
    <xf numFmtId="43" fontId="25" fillId="0" borderId="33" xfId="9" applyNumberFormat="1" applyFont="1" applyFill="1" applyBorder="1"/>
    <xf numFmtId="0" fontId="24" fillId="0" borderId="86" xfId="2" quotePrefix="1" applyFont="1" applyFill="1" applyBorder="1" applyAlignment="1">
      <alignment horizontal="center"/>
    </xf>
    <xf numFmtId="43" fontId="25" fillId="0" borderId="14" xfId="9" applyFont="1" applyFill="1" applyBorder="1"/>
    <xf numFmtId="43" fontId="25" fillId="0" borderId="107" xfId="9" applyFont="1" applyFill="1" applyBorder="1" applyAlignment="1">
      <alignment horizontal="center"/>
    </xf>
    <xf numFmtId="43" fontId="25" fillId="0" borderId="107" xfId="9" applyNumberFormat="1" applyFont="1" applyFill="1" applyBorder="1"/>
    <xf numFmtId="43" fontId="25" fillId="0" borderId="106" xfId="9" applyNumberFormat="1" applyFont="1" applyFill="1" applyBorder="1"/>
    <xf numFmtId="170" fontId="25" fillId="0" borderId="89" xfId="2" applyNumberFormat="1" applyFont="1" applyFill="1" applyBorder="1" applyAlignment="1">
      <alignment horizontal="center"/>
    </xf>
    <xf numFmtId="0" fontId="25" fillId="0" borderId="13" xfId="2" applyNumberFormat="1" applyFont="1" applyFill="1" applyBorder="1" applyAlignment="1">
      <alignment horizontal="center"/>
    </xf>
    <xf numFmtId="169" fontId="25" fillId="0" borderId="89" xfId="2" applyNumberFormat="1" applyFont="1" applyFill="1" applyBorder="1" applyAlignment="1">
      <alignment horizontal="center"/>
    </xf>
    <xf numFmtId="0" fontId="25" fillId="5" borderId="13" xfId="2" applyFont="1" applyFill="1" applyBorder="1" applyAlignment="1">
      <alignment horizontal="center"/>
    </xf>
    <xf numFmtId="43" fontId="24" fillId="5" borderId="89" xfId="9" applyFont="1" applyFill="1" applyBorder="1" applyAlignment="1">
      <alignment horizontal="center"/>
    </xf>
    <xf numFmtId="43" fontId="25" fillId="5" borderId="89" xfId="9" applyNumberFormat="1" applyFont="1" applyFill="1" applyBorder="1"/>
    <xf numFmtId="43" fontId="25" fillId="5" borderId="14" xfId="2" applyNumberFormat="1" applyFont="1" applyFill="1" applyBorder="1"/>
    <xf numFmtId="43" fontId="25" fillId="5" borderId="70" xfId="9" applyNumberFormat="1" applyFont="1" applyFill="1" applyBorder="1"/>
    <xf numFmtId="170" fontId="25" fillId="5" borderId="89" xfId="2" applyNumberFormat="1" applyFont="1" applyFill="1" applyBorder="1" applyAlignment="1">
      <alignment horizontal="center"/>
    </xf>
    <xf numFmtId="0" fontId="25" fillId="5" borderId="92" xfId="2" applyFont="1" applyFill="1" applyBorder="1" applyAlignment="1">
      <alignment horizontal="center"/>
    </xf>
    <xf numFmtId="43" fontId="25" fillId="5" borderId="93" xfId="9" applyFont="1" applyFill="1" applyBorder="1" applyAlignment="1">
      <alignment horizontal="center"/>
    </xf>
    <xf numFmtId="43" fontId="25" fillId="5" borderId="93" xfId="9" applyNumberFormat="1" applyFont="1" applyFill="1" applyBorder="1"/>
    <xf numFmtId="43" fontId="25" fillId="5" borderId="94" xfId="2" applyNumberFormat="1" applyFont="1" applyFill="1" applyBorder="1"/>
    <xf numFmtId="0" fontId="25" fillId="5" borderId="10" xfId="2" applyFont="1" applyFill="1" applyBorder="1" applyAlignment="1">
      <alignment horizontal="center"/>
    </xf>
    <xf numFmtId="43" fontId="25" fillId="5" borderId="96" xfId="9" applyFont="1" applyFill="1" applyBorder="1" applyAlignment="1">
      <alignment horizontal="center"/>
    </xf>
    <xf numFmtId="43" fontId="25" fillId="5" borderId="96" xfId="9" applyNumberFormat="1" applyFont="1" applyFill="1" applyBorder="1"/>
    <xf numFmtId="43" fontId="25" fillId="5" borderId="11" xfId="5" applyNumberFormat="1" applyFont="1" applyFill="1" applyBorder="1"/>
    <xf numFmtId="43" fontId="25" fillId="5" borderId="68" xfId="9" applyNumberFormat="1" applyFont="1" applyFill="1" applyBorder="1"/>
    <xf numFmtId="0" fontId="25" fillId="5" borderId="16" xfId="2" applyFont="1" applyFill="1" applyBorder="1" applyAlignment="1">
      <alignment horizontal="center"/>
    </xf>
    <xf numFmtId="43" fontId="25" fillId="5" borderId="91" xfId="9" applyFont="1" applyFill="1" applyBorder="1" applyAlignment="1">
      <alignment horizontal="center"/>
    </xf>
    <xf numFmtId="43" fontId="25" fillId="5" borderId="91" xfId="9" applyNumberFormat="1" applyFont="1" applyFill="1" applyBorder="1"/>
    <xf numFmtId="43" fontId="25" fillId="5" borderId="17" xfId="2" applyNumberFormat="1" applyFont="1" applyFill="1" applyBorder="1"/>
    <xf numFmtId="43" fontId="25" fillId="5" borderId="72" xfId="9" applyNumberFormat="1" applyFont="1" applyFill="1" applyBorder="1"/>
    <xf numFmtId="0" fontId="29" fillId="0" borderId="89" xfId="0" applyFont="1" applyBorder="1" applyAlignment="1">
      <alignment horizontal="center" vertical="center"/>
    </xf>
    <xf numFmtId="170" fontId="25" fillId="0" borderId="96" xfId="2" applyNumberFormat="1" applyFont="1" applyFill="1" applyBorder="1" applyAlignment="1">
      <alignment horizontal="center" vertical="center"/>
    </xf>
    <xf numFmtId="170" fontId="25" fillId="0" borderId="89" xfId="2" applyNumberFormat="1" applyFont="1" applyFill="1" applyBorder="1" applyAlignment="1">
      <alignment horizontal="center" vertical="center"/>
    </xf>
    <xf numFmtId="43" fontId="25" fillId="0" borderId="93" xfId="9" applyFont="1" applyFill="1" applyBorder="1" applyAlignment="1">
      <alignment horizontal="center" vertical="center"/>
    </xf>
    <xf numFmtId="43" fontId="25" fillId="0" borderId="96" xfId="9" applyFont="1" applyFill="1" applyBorder="1" applyAlignment="1">
      <alignment horizontal="center" vertical="center"/>
    </xf>
    <xf numFmtId="43" fontId="25" fillId="0" borderId="91" xfId="9" applyFont="1" applyFill="1" applyBorder="1" applyAlignment="1">
      <alignment horizontal="center" vertical="center"/>
    </xf>
    <xf numFmtId="43" fontId="25" fillId="0" borderId="89" xfId="9" applyFont="1" applyFill="1" applyBorder="1" applyAlignment="1">
      <alignment horizontal="center" vertical="center"/>
    </xf>
    <xf numFmtId="43" fontId="24" fillId="0" borderId="89" xfId="9" applyFont="1" applyFill="1" applyBorder="1" applyAlignment="1">
      <alignment horizontal="center" vertical="center"/>
    </xf>
    <xf numFmtId="0" fontId="24" fillId="0" borderId="86" xfId="2" applyFont="1" applyFill="1" applyBorder="1" applyAlignment="1">
      <alignment horizontal="center"/>
    </xf>
    <xf numFmtId="167" fontId="11" fillId="0" borderId="0" xfId="0" applyNumberFormat="1" applyFont="1"/>
    <xf numFmtId="0" fontId="1" fillId="0" borderId="0" xfId="0" applyFont="1" applyBorder="1"/>
    <xf numFmtId="0" fontId="22" fillId="0" borderId="0" xfId="5" applyNumberFormat="1" applyFont="1" applyFill="1" applyBorder="1" applyAlignment="1">
      <alignment vertical="center" wrapText="1"/>
    </xf>
    <xf numFmtId="0" fontId="25" fillId="0" borderId="0" xfId="2" applyNumberFormat="1" applyFont="1" applyFill="1" applyBorder="1" applyAlignment="1">
      <alignment horizontal="center" wrapText="1"/>
    </xf>
    <xf numFmtId="0" fontId="24" fillId="0" borderId="86" xfId="2" applyFont="1" applyFill="1" applyBorder="1" applyAlignment="1">
      <alignment horizontal="center" wrapText="1"/>
    </xf>
    <xf numFmtId="0" fontId="24" fillId="0" borderId="86" xfId="2" quotePrefix="1" applyFont="1" applyFill="1" applyBorder="1" applyAlignment="1">
      <alignment horizontal="center" wrapText="1"/>
    </xf>
    <xf numFmtId="0" fontId="26" fillId="0" borderId="89" xfId="2" applyNumberFormat="1" applyFont="1" applyFill="1" applyBorder="1" applyAlignment="1" applyProtection="1">
      <alignment horizontal="left" wrapText="1"/>
      <protection locked="0"/>
    </xf>
    <xf numFmtId="0" fontId="25" fillId="0" borderId="89" xfId="2" applyNumberFormat="1" applyFont="1" applyFill="1" applyBorder="1" applyAlignment="1">
      <alignment wrapText="1"/>
    </xf>
    <xf numFmtId="0" fontId="26" fillId="0" borderId="89" xfId="2" applyNumberFormat="1" applyFont="1" applyFill="1" applyBorder="1" applyAlignment="1">
      <alignment wrapText="1"/>
    </xf>
    <xf numFmtId="0" fontId="25" fillId="0" borderId="90" xfId="2" applyNumberFormat="1" applyFont="1" applyFill="1" applyBorder="1" applyAlignment="1">
      <alignment wrapText="1"/>
    </xf>
    <xf numFmtId="0" fontId="25" fillId="0" borderId="91" xfId="2" applyNumberFormat="1" applyFont="1" applyFill="1" applyBorder="1" applyAlignment="1">
      <alignment wrapText="1"/>
    </xf>
    <xf numFmtId="168" fontId="25" fillId="2" borderId="93" xfId="2" applyNumberFormat="1" applyFont="1" applyFill="1" applyBorder="1" applyAlignment="1">
      <alignment wrapText="1"/>
    </xf>
    <xf numFmtId="168" fontId="25" fillId="2" borderId="89" xfId="2" applyNumberFormat="1" applyFont="1" applyFill="1" applyBorder="1" applyAlignment="1">
      <alignment wrapText="1"/>
    </xf>
    <xf numFmtId="168" fontId="25" fillId="2" borderId="91" xfId="2" applyNumberFormat="1" applyFont="1" applyFill="1" applyBorder="1" applyAlignment="1">
      <alignment wrapText="1"/>
    </xf>
    <xf numFmtId="0" fontId="26" fillId="0" borderId="93" xfId="9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5" fillId="0" borderId="107" xfId="2" applyNumberFormat="1" applyFont="1" applyFill="1" applyBorder="1" applyAlignment="1">
      <alignment wrapText="1"/>
    </xf>
    <xf numFmtId="0" fontId="26" fillId="0" borderId="89" xfId="9" applyNumberFormat="1" applyFont="1" applyFill="1" applyBorder="1" applyAlignment="1" applyProtection="1">
      <alignment horizontal="left" wrapText="1"/>
      <protection locked="0"/>
    </xf>
    <xf numFmtId="0" fontId="25" fillId="0" borderId="96" xfId="2" applyNumberFormat="1" applyFont="1" applyFill="1" applyBorder="1" applyAlignment="1">
      <alignment wrapText="1"/>
    </xf>
    <xf numFmtId="0" fontId="26" fillId="0" borderId="89" xfId="9" applyNumberFormat="1" applyFont="1" applyFill="1" applyBorder="1" applyAlignment="1">
      <alignment wrapText="1"/>
    </xf>
    <xf numFmtId="168" fontId="25" fillId="2" borderId="90" xfId="2" applyNumberFormat="1" applyFont="1" applyFill="1" applyBorder="1" applyAlignment="1">
      <alignment wrapText="1"/>
    </xf>
    <xf numFmtId="168" fontId="27" fillId="2" borderId="93" xfId="2" applyNumberFormat="1" applyFont="1" applyFill="1" applyBorder="1" applyAlignment="1">
      <alignment wrapText="1"/>
    </xf>
    <xf numFmtId="0" fontId="25" fillId="0" borderId="0" xfId="2" applyNumberFormat="1" applyFont="1" applyFill="1" applyBorder="1" applyAlignment="1">
      <alignment wrapText="1"/>
    </xf>
    <xf numFmtId="0" fontId="25" fillId="0" borderId="30" xfId="2" applyNumberFormat="1" applyFont="1" applyFill="1" applyBorder="1" applyAlignment="1">
      <alignment wrapText="1"/>
    </xf>
    <xf numFmtId="0" fontId="26" fillId="0" borderId="93" xfId="2" applyNumberFormat="1" applyFont="1" applyFill="1" applyBorder="1" applyAlignment="1">
      <alignment wrapText="1"/>
    </xf>
    <xf numFmtId="0" fontId="26" fillId="0" borderId="107" xfId="2" applyNumberFormat="1" applyFont="1" applyFill="1" applyBorder="1" applyAlignment="1" applyProtection="1">
      <alignment horizontal="left" wrapText="1"/>
      <protection locked="0"/>
    </xf>
    <xf numFmtId="0" fontId="26" fillId="0" borderId="96" xfId="2" applyNumberFormat="1" applyFont="1" applyFill="1" applyBorder="1" applyAlignment="1" applyProtection="1">
      <alignment horizontal="left" wrapText="1"/>
      <protection locked="0"/>
    </xf>
    <xf numFmtId="0" fontId="25" fillId="0" borderId="93" xfId="2" applyNumberFormat="1" applyFont="1" applyFill="1" applyBorder="1" applyAlignment="1">
      <alignment wrapText="1"/>
    </xf>
    <xf numFmtId="0" fontId="26" fillId="0" borderId="89" xfId="5" applyNumberFormat="1" applyFont="1" applyFill="1" applyBorder="1" applyAlignment="1">
      <alignment horizontal="left" wrapText="1"/>
    </xf>
    <xf numFmtId="168" fontId="25" fillId="2" borderId="0" xfId="2" applyNumberFormat="1" applyFont="1" applyFill="1" applyBorder="1" applyAlignment="1">
      <alignment wrapText="1"/>
    </xf>
    <xf numFmtId="0" fontId="25" fillId="0" borderId="34" xfId="2" applyNumberFormat="1" applyFont="1" applyFill="1" applyBorder="1" applyAlignment="1">
      <alignment wrapText="1"/>
    </xf>
    <xf numFmtId="169" fontId="25" fillId="0" borderId="89" xfId="2" applyNumberFormat="1" applyFont="1" applyFill="1" applyBorder="1" applyAlignment="1">
      <alignment wrapText="1"/>
    </xf>
    <xf numFmtId="169" fontId="25" fillId="0" borderId="90" xfId="2" applyNumberFormat="1" applyFont="1" applyFill="1" applyBorder="1" applyAlignment="1">
      <alignment wrapText="1"/>
    </xf>
    <xf numFmtId="0" fontId="26" fillId="5" borderId="89" xfId="2" applyNumberFormat="1" applyFont="1" applyFill="1" applyBorder="1" applyAlignment="1">
      <alignment wrapText="1"/>
    </xf>
    <xf numFmtId="169" fontId="25" fillId="5" borderId="89" xfId="2" applyNumberFormat="1" applyFont="1" applyFill="1" applyBorder="1" applyAlignment="1">
      <alignment wrapText="1"/>
    </xf>
    <xf numFmtId="168" fontId="25" fillId="5" borderId="93" xfId="2" applyNumberFormat="1" applyFont="1" applyFill="1" applyBorder="1" applyAlignment="1">
      <alignment wrapText="1"/>
    </xf>
    <xf numFmtId="168" fontId="25" fillId="5" borderId="89" xfId="2" applyNumberFormat="1" applyFont="1" applyFill="1" applyBorder="1" applyAlignment="1">
      <alignment wrapText="1"/>
    </xf>
    <xf numFmtId="168" fontId="25" fillId="5" borderId="91" xfId="2" applyNumberFormat="1" applyFont="1" applyFill="1" applyBorder="1" applyAlignment="1">
      <alignment wrapText="1"/>
    </xf>
    <xf numFmtId="175" fontId="22" fillId="0" borderId="0" xfId="5" applyNumberFormat="1" applyFont="1" applyFill="1" applyBorder="1" applyAlignment="1">
      <alignment vertical="center"/>
    </xf>
    <xf numFmtId="175" fontId="24" fillId="0" borderId="0" xfId="5" applyNumberFormat="1" applyFont="1" applyFill="1" applyBorder="1" applyAlignment="1">
      <alignment horizontal="right"/>
    </xf>
    <xf numFmtId="175" fontId="25" fillId="0" borderId="0" xfId="2" applyNumberFormat="1" applyFont="1" applyFill="1" applyBorder="1"/>
    <xf numFmtId="175" fontId="24" fillId="0" borderId="86" xfId="2" applyNumberFormat="1" applyFont="1" applyFill="1" applyBorder="1" applyAlignment="1">
      <alignment horizontal="center"/>
    </xf>
    <xf numFmtId="175" fontId="24" fillId="0" borderId="86" xfId="2" quotePrefix="1" applyNumberFormat="1" applyFont="1" applyFill="1" applyBorder="1" applyAlignment="1">
      <alignment horizontal="center"/>
    </xf>
    <xf numFmtId="175" fontId="26" fillId="0" borderId="89" xfId="2" applyNumberFormat="1" applyFont="1" applyFill="1" applyBorder="1" applyAlignment="1" applyProtection="1">
      <alignment horizontal="left"/>
      <protection locked="0"/>
    </xf>
    <xf numFmtId="175" fontId="25" fillId="0" borderId="89" xfId="2" applyNumberFormat="1" applyFont="1" applyFill="1" applyBorder="1"/>
    <xf numFmtId="175" fontId="24" fillId="0" borderId="70" xfId="9" applyNumberFormat="1" applyFont="1" applyFill="1" applyBorder="1"/>
    <xf numFmtId="175" fontId="25" fillId="0" borderId="74" xfId="2" applyNumberFormat="1" applyFont="1" applyFill="1" applyBorder="1"/>
    <xf numFmtId="175" fontId="25" fillId="0" borderId="93" xfId="2" applyNumberFormat="1" applyFont="1" applyFill="1" applyBorder="1"/>
    <xf numFmtId="175" fontId="25" fillId="0" borderId="96" xfId="2" applyNumberFormat="1" applyFont="1" applyFill="1" applyBorder="1"/>
    <xf numFmtId="175" fontId="25" fillId="0" borderId="96" xfId="5" applyNumberFormat="1" applyFont="1" applyFill="1" applyBorder="1"/>
    <xf numFmtId="175" fontId="25" fillId="0" borderId="91" xfId="2" applyNumberFormat="1" applyFont="1" applyFill="1" applyBorder="1"/>
    <xf numFmtId="175" fontId="24" fillId="0" borderId="95" xfId="9" applyNumberFormat="1" applyFont="1" applyFill="1" applyBorder="1"/>
    <xf numFmtId="175" fontId="25" fillId="0" borderId="89" xfId="5" applyNumberFormat="1" applyFont="1" applyFill="1" applyBorder="1"/>
    <xf numFmtId="175" fontId="1" fillId="0" borderId="0" xfId="0" applyNumberFormat="1" applyFont="1"/>
    <xf numFmtId="175" fontId="25" fillId="0" borderId="106" xfId="2" applyNumberFormat="1" applyFont="1" applyFill="1" applyBorder="1"/>
    <xf numFmtId="175" fontId="26" fillId="0" borderId="70" xfId="9" applyNumberFormat="1" applyFont="1" applyFill="1" applyBorder="1" applyAlignment="1" applyProtection="1">
      <alignment horizontal="left"/>
      <protection locked="0"/>
    </xf>
    <xf numFmtId="175" fontId="25" fillId="0" borderId="70" xfId="5" applyNumberFormat="1" applyFont="1" applyFill="1" applyBorder="1"/>
    <xf numFmtId="175" fontId="25" fillId="0" borderId="74" xfId="5" applyNumberFormat="1" applyFont="1" applyFill="1" applyBorder="1"/>
    <xf numFmtId="175" fontId="26" fillId="0" borderId="30" xfId="2" applyNumberFormat="1" applyFont="1" applyFill="1" applyBorder="1"/>
    <xf numFmtId="175" fontId="26" fillId="0" borderId="93" xfId="2" applyNumberFormat="1" applyFont="1" applyFill="1" applyBorder="1"/>
    <xf numFmtId="175" fontId="26" fillId="0" borderId="96" xfId="2" applyNumberFormat="1" applyFont="1" applyFill="1" applyBorder="1" applyAlignment="1" applyProtection="1">
      <alignment horizontal="left"/>
      <protection locked="0"/>
    </xf>
    <xf numFmtId="175" fontId="24" fillId="0" borderId="89" xfId="2" applyNumberFormat="1" applyFont="1" applyFill="1" applyBorder="1"/>
    <xf numFmtId="175" fontId="26" fillId="0" borderId="89" xfId="2" applyNumberFormat="1" applyFont="1" applyFill="1" applyBorder="1"/>
    <xf numFmtId="175" fontId="25" fillId="0" borderId="90" xfId="2" applyNumberFormat="1" applyFont="1" applyFill="1" applyBorder="1"/>
    <xf numFmtId="175" fontId="25" fillId="0" borderId="89" xfId="9" applyNumberFormat="1" applyFont="1" applyFill="1" applyBorder="1" applyAlignment="1">
      <alignment horizontal="right" wrapText="1"/>
    </xf>
    <xf numFmtId="175" fontId="25" fillId="0" borderId="74" xfId="9" applyNumberFormat="1" applyFont="1" applyFill="1" applyBorder="1" applyAlignment="1">
      <alignment horizontal="right" wrapText="1"/>
    </xf>
    <xf numFmtId="175" fontId="25" fillId="0" borderId="89" xfId="9" applyNumberFormat="1" applyFont="1" applyFill="1" applyBorder="1"/>
    <xf numFmtId="175" fontId="25" fillId="0" borderId="34" xfId="2" applyNumberFormat="1" applyFont="1" applyFill="1" applyBorder="1"/>
    <xf numFmtId="175" fontId="25" fillId="0" borderId="96" xfId="9" applyNumberFormat="1" applyFont="1" applyFill="1" applyBorder="1"/>
    <xf numFmtId="175" fontId="25" fillId="0" borderId="70" xfId="9" applyNumberFormat="1" applyFont="1" applyFill="1" applyBorder="1" applyAlignment="1">
      <alignment horizontal="right" wrapText="1"/>
    </xf>
    <xf numFmtId="175" fontId="26" fillId="0" borderId="107" xfId="2" applyNumberFormat="1" applyFont="1" applyFill="1" applyBorder="1"/>
    <xf numFmtId="175" fontId="25" fillId="0" borderId="70" xfId="2" applyNumberFormat="1" applyFont="1" applyFill="1" applyBorder="1"/>
    <xf numFmtId="175" fontId="24" fillId="5" borderId="70" xfId="9" applyNumberFormat="1" applyFont="1" applyFill="1" applyBorder="1"/>
    <xf numFmtId="175" fontId="25" fillId="5" borderId="70" xfId="2" applyNumberFormat="1" applyFont="1" applyFill="1" applyBorder="1"/>
    <xf numFmtId="175" fontId="25" fillId="5" borderId="93" xfId="2" applyNumberFormat="1" applyFont="1" applyFill="1" applyBorder="1"/>
    <xf numFmtId="175" fontId="25" fillId="5" borderId="96" xfId="2" applyNumberFormat="1" applyFont="1" applyFill="1" applyBorder="1"/>
    <xf numFmtId="175" fontId="25" fillId="5" borderId="96" xfId="5" applyNumberFormat="1" applyFont="1" applyFill="1" applyBorder="1"/>
    <xf numFmtId="175" fontId="25" fillId="5" borderId="91" xfId="2" applyNumberFormat="1" applyFont="1" applyFill="1" applyBorder="1"/>
    <xf numFmtId="43" fontId="24" fillId="0" borderId="109" xfId="9" applyNumberFormat="1" applyFont="1" applyFill="1" applyBorder="1" applyAlignment="1">
      <alignment horizontal="center"/>
    </xf>
    <xf numFmtId="43" fontId="24" fillId="0" borderId="109" xfId="2" quotePrefix="1" applyNumberFormat="1" applyFont="1" applyFill="1" applyBorder="1" applyAlignment="1">
      <alignment horizontal="center"/>
    </xf>
    <xf numFmtId="43" fontId="25" fillId="0" borderId="110" xfId="9" applyNumberFormat="1" applyFont="1" applyFill="1" applyBorder="1"/>
    <xf numFmtId="43" fontId="25" fillId="0" borderId="111" xfId="9" applyNumberFormat="1" applyFont="1" applyFill="1" applyBorder="1"/>
    <xf numFmtId="43" fontId="25" fillId="0" borderId="112" xfId="9" applyNumberFormat="1" applyFont="1" applyFill="1" applyBorder="1"/>
    <xf numFmtId="43" fontId="25" fillId="0" borderId="113" xfId="5" applyNumberFormat="1" applyFont="1" applyFill="1" applyBorder="1"/>
    <xf numFmtId="43" fontId="25" fillId="0" borderId="113" xfId="9" applyNumberFormat="1" applyFont="1" applyFill="1" applyBorder="1"/>
    <xf numFmtId="4" fontId="24" fillId="2" borderId="114" xfId="5" applyNumberFormat="1" applyFont="1" applyFill="1" applyBorder="1"/>
    <xf numFmtId="0" fontId="1" fillId="0" borderId="115" xfId="0" applyFont="1" applyBorder="1"/>
    <xf numFmtId="43" fontId="24" fillId="0" borderId="112" xfId="9" applyNumberFormat="1" applyFont="1" applyFill="1" applyBorder="1"/>
    <xf numFmtId="43" fontId="24" fillId="0" borderId="110" xfId="9" applyNumberFormat="1" applyFont="1" applyFill="1" applyBorder="1"/>
    <xf numFmtId="43" fontId="25" fillId="0" borderId="116" xfId="9" applyNumberFormat="1" applyFont="1" applyFill="1" applyBorder="1"/>
    <xf numFmtId="43" fontId="25" fillId="0" borderId="117" xfId="9" applyNumberFormat="1" applyFont="1" applyFill="1" applyBorder="1"/>
    <xf numFmtId="43" fontId="24" fillId="0" borderId="118" xfId="9" applyNumberFormat="1" applyFont="1" applyFill="1" applyBorder="1"/>
    <xf numFmtId="43" fontId="25" fillId="0" borderId="114" xfId="9" applyNumberFormat="1" applyFont="1" applyFill="1" applyBorder="1"/>
    <xf numFmtId="43" fontId="25" fillId="0" borderId="110" xfId="5" applyNumberFormat="1" applyFont="1" applyFill="1" applyBorder="1"/>
    <xf numFmtId="4" fontId="24" fillId="2" borderId="118" xfId="5" applyNumberFormat="1" applyFont="1" applyFill="1" applyBorder="1"/>
    <xf numFmtId="43" fontId="24" fillId="0" borderId="113" xfId="9" applyNumberFormat="1" applyFont="1" applyFill="1" applyBorder="1"/>
    <xf numFmtId="43" fontId="24" fillId="0" borderId="119" xfId="9" applyNumberFormat="1" applyFont="1" applyFill="1" applyBorder="1"/>
    <xf numFmtId="4" fontId="24" fillId="2" borderId="111" xfId="5" applyNumberFormat="1" applyFont="1" applyFill="1" applyBorder="1"/>
    <xf numFmtId="43" fontId="25" fillId="5" borderId="110" xfId="9" applyNumberFormat="1" applyFont="1" applyFill="1" applyBorder="1"/>
    <xf numFmtId="43" fontId="25" fillId="5" borderId="112" xfId="9" applyNumberFormat="1" applyFont="1" applyFill="1" applyBorder="1"/>
    <xf numFmtId="43" fontId="25" fillId="5" borderId="113" xfId="5" applyNumberFormat="1" applyFont="1" applyFill="1" applyBorder="1"/>
    <xf numFmtId="43" fontId="25" fillId="5" borderId="113" xfId="9" applyNumberFormat="1" applyFont="1" applyFill="1" applyBorder="1"/>
    <xf numFmtId="4" fontId="24" fillId="5" borderId="114" xfId="5" applyNumberFormat="1" applyFont="1" applyFill="1" applyBorder="1"/>
    <xf numFmtId="0" fontId="25" fillId="0" borderId="120" xfId="2" applyFont="1" applyFill="1" applyBorder="1" applyAlignment="1">
      <alignment horizontal="center"/>
    </xf>
    <xf numFmtId="168" fontId="25" fillId="2" borderId="30" xfId="2" applyNumberFormat="1" applyFont="1" applyFill="1" applyBorder="1" applyAlignment="1">
      <alignment wrapText="1"/>
    </xf>
    <xf numFmtId="175" fontId="25" fillId="0" borderId="30" xfId="2" applyNumberFormat="1" applyFont="1" applyFill="1" applyBorder="1"/>
    <xf numFmtId="43" fontId="25" fillId="0" borderId="30" xfId="9" applyFont="1" applyFill="1" applyBorder="1" applyAlignment="1">
      <alignment horizontal="center"/>
    </xf>
    <xf numFmtId="43" fontId="25" fillId="0" borderId="31" xfId="2" applyNumberFormat="1" applyFont="1" applyFill="1" applyBorder="1"/>
    <xf numFmtId="0" fontId="25" fillId="0" borderId="121" xfId="2" applyFont="1" applyFill="1" applyBorder="1"/>
    <xf numFmtId="175" fontId="26" fillId="0" borderId="96" xfId="2" applyNumberFormat="1" applyFont="1" applyFill="1" applyBorder="1"/>
    <xf numFmtId="43" fontId="25" fillId="0" borderId="69" xfId="2" applyNumberFormat="1" applyFont="1" applyFill="1" applyBorder="1"/>
  </cellXfs>
  <cellStyles count="10">
    <cellStyle name="Comma [0]" xfId="1" builtinId="6"/>
    <cellStyle name="Comma [0] 2 2" xfId="5"/>
    <cellStyle name="Comma 2 2" xfId="9"/>
    <cellStyle name="Comma 9" xfId="4"/>
    <cellStyle name="Normal" xfId="0" builtinId="0"/>
    <cellStyle name="Normal 14" xfId="3"/>
    <cellStyle name="Normal 14 2" xfId="7"/>
    <cellStyle name="Normal 14 3" xfId="6"/>
    <cellStyle name="Normal 2 2" xfId="8"/>
    <cellStyle name="Normal_New AHS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2" workbookViewId="0">
      <selection activeCell="E32" sqref="E32"/>
    </sheetView>
  </sheetViews>
  <sheetFormatPr defaultColWidth="8.85546875" defaultRowHeight="16.5" x14ac:dyDescent="0.3"/>
  <cols>
    <col min="1" max="1" width="4" style="81" customWidth="1"/>
    <col min="2" max="2" width="15.140625" style="81" customWidth="1"/>
    <col min="3" max="3" width="33.42578125" style="81" customWidth="1"/>
    <col min="4" max="4" width="4.28515625" style="81" customWidth="1"/>
    <col min="5" max="5" width="22" style="81" customWidth="1"/>
    <col min="6" max="6" width="5.42578125" style="81" bestFit="1" customWidth="1"/>
    <col min="7" max="16384" width="8.85546875" style="81"/>
  </cols>
  <sheetData>
    <row r="1" spans="1:6" ht="20.45" x14ac:dyDescent="0.35">
      <c r="A1" s="222" t="s">
        <v>187</v>
      </c>
      <c r="B1" s="222"/>
      <c r="C1" s="222"/>
      <c r="D1" s="222"/>
      <c r="E1" s="222"/>
      <c r="F1" s="222"/>
    </row>
    <row r="2" spans="1:6" ht="18" x14ac:dyDescent="0.35">
      <c r="A2" s="82"/>
      <c r="B2" s="82"/>
      <c r="C2" s="82"/>
      <c r="D2" s="83"/>
      <c r="E2" s="82"/>
      <c r="F2" s="82"/>
    </row>
    <row r="3" spans="1:6" ht="18" x14ac:dyDescent="0.35">
      <c r="A3" s="84" t="str">
        <f>RAB!A3</f>
        <v>PEKERJAAN</v>
      </c>
      <c r="B3" s="84"/>
      <c r="C3" s="85" t="str">
        <f>RAB!C3</f>
        <v>: RUMAH TINGGAL SEDERHANA 2 LANTAI</v>
      </c>
      <c r="D3" s="86"/>
      <c r="E3" s="87"/>
      <c r="F3" s="82"/>
    </row>
    <row r="4" spans="1:6" ht="18" x14ac:dyDescent="0.35">
      <c r="A4" s="84" t="str">
        <f>RAB!A4</f>
        <v>PEMILIK</v>
      </c>
      <c r="B4" s="84"/>
      <c r="C4" s="85" t="str">
        <f>RAB!C4</f>
        <v>: BADAN WAKAF UII</v>
      </c>
      <c r="D4" s="86"/>
      <c r="E4" s="87"/>
      <c r="F4" s="82"/>
    </row>
    <row r="5" spans="1:6" ht="18" x14ac:dyDescent="0.35">
      <c r="A5" s="84" t="str">
        <f>RAB!A5</f>
        <v>LOKASI</v>
      </c>
      <c r="B5" s="88"/>
      <c r="C5" s="85" t="str">
        <f>RAB!C5</f>
        <v>: JALAN KALIURANG KM 14,5</v>
      </c>
      <c r="D5" s="86"/>
      <c r="E5" s="87"/>
      <c r="F5" s="82"/>
    </row>
    <row r="6" spans="1:6" ht="15" thickBot="1" x14ac:dyDescent="0.35">
      <c r="A6" s="89"/>
      <c r="B6" s="90"/>
      <c r="C6" s="90"/>
      <c r="D6" s="90"/>
      <c r="E6" s="90"/>
      <c r="F6" s="91"/>
    </row>
    <row r="7" spans="1:6" ht="16.149999999999999" thickBot="1" x14ac:dyDescent="0.3">
      <c r="A7" s="92" t="s">
        <v>3</v>
      </c>
      <c r="B7" s="223" t="s">
        <v>4</v>
      </c>
      <c r="C7" s="224"/>
      <c r="D7" s="225" t="s">
        <v>188</v>
      </c>
      <c r="E7" s="223"/>
      <c r="F7" s="226"/>
    </row>
    <row r="8" spans="1:6" ht="14.45" thickBot="1" x14ac:dyDescent="0.3">
      <c r="A8" s="123"/>
      <c r="B8" s="140" t="str">
        <f>RAB!B9</f>
        <v>LANTAI 1</v>
      </c>
      <c r="C8" s="124"/>
      <c r="D8" s="125"/>
      <c r="E8" s="126"/>
      <c r="F8" s="127"/>
    </row>
    <row r="9" spans="1:6" ht="13.9" x14ac:dyDescent="0.25">
      <c r="A9" s="128" t="s">
        <v>12</v>
      </c>
      <c r="B9" s="142" t="str">
        <f>RAB!B10</f>
        <v>PEKERJAAN PERSIAPAN</v>
      </c>
      <c r="C9" s="116"/>
      <c r="D9" s="129" t="s">
        <v>189</v>
      </c>
      <c r="E9" s="130">
        <f>RAB!N13</f>
        <v>5862975.8249999993</v>
      </c>
      <c r="F9" s="131"/>
    </row>
    <row r="10" spans="1:6" ht="13.9" x14ac:dyDescent="0.25">
      <c r="A10" s="121" t="s">
        <v>18</v>
      </c>
      <c r="B10" s="118" t="str">
        <f>RAB!B15</f>
        <v>PEKERJAAN TANAH</v>
      </c>
      <c r="C10" s="94"/>
      <c r="D10" s="93" t="s">
        <v>189</v>
      </c>
      <c r="E10" s="132">
        <f>RAB!N20</f>
        <v>5815611.6800000006</v>
      </c>
      <c r="F10" s="133"/>
    </row>
    <row r="11" spans="1:6" ht="13.9" x14ac:dyDescent="0.25">
      <c r="A11" s="121" t="s">
        <v>23</v>
      </c>
      <c r="B11" s="118" t="str">
        <f>RAB!B22</f>
        <v>PEKERJAAN PASANGAN</v>
      </c>
      <c r="C11" s="94"/>
      <c r="D11" s="93" t="s">
        <v>189</v>
      </c>
      <c r="E11" s="132">
        <f>RAB!N28</f>
        <v>36025650.93</v>
      </c>
      <c r="F11" s="133"/>
    </row>
    <row r="12" spans="1:6" ht="13.9" x14ac:dyDescent="0.25">
      <c r="A12" s="121" t="s">
        <v>27</v>
      </c>
      <c r="B12" s="118" t="str">
        <f>RAB!B30</f>
        <v>PEKERJAAN PLESTERAN</v>
      </c>
      <c r="C12" s="94"/>
      <c r="D12" s="93" t="s">
        <v>189</v>
      </c>
      <c r="E12" s="132">
        <f>RAB!N34</f>
        <v>36619598.049999997</v>
      </c>
      <c r="F12" s="133"/>
    </row>
    <row r="13" spans="1:6" ht="13.9" x14ac:dyDescent="0.25">
      <c r="A13" s="117" t="str">
        <f>RAB!A37</f>
        <v>E</v>
      </c>
      <c r="B13" s="143" t="str">
        <f>RAB!B37</f>
        <v>PEKERJAAN BETON</v>
      </c>
      <c r="C13" s="94"/>
      <c r="D13" s="93" t="s">
        <v>189</v>
      </c>
      <c r="E13" s="132">
        <f>RAB!N53</f>
        <v>109747247.538</v>
      </c>
      <c r="F13" s="133"/>
    </row>
    <row r="14" spans="1:6" ht="13.9" x14ac:dyDescent="0.25">
      <c r="A14" s="117" t="str">
        <f>RAB!A55</f>
        <v>F</v>
      </c>
      <c r="B14" s="143" t="str">
        <f>RAB!B55</f>
        <v xml:space="preserve">PEKERJAAN KERAMIK </v>
      </c>
      <c r="C14" s="94"/>
      <c r="D14" s="93" t="s">
        <v>189</v>
      </c>
      <c r="E14" s="132">
        <f>RAB!N54</f>
        <v>0</v>
      </c>
      <c r="F14" s="133"/>
    </row>
    <row r="15" spans="1:6" ht="13.9" x14ac:dyDescent="0.25">
      <c r="A15" s="117" t="str">
        <f>RAB!A68</f>
        <v>G</v>
      </c>
      <c r="B15" s="143" t="str">
        <f>RAB!B68</f>
        <v xml:space="preserve">PEKERJAAN KAYU &amp; PINTU JENDELA </v>
      </c>
      <c r="C15" s="94"/>
      <c r="D15" s="93" t="s">
        <v>189</v>
      </c>
      <c r="E15" s="132">
        <f>RAB!N80</f>
        <v>26799200</v>
      </c>
      <c r="F15" s="133"/>
    </row>
    <row r="16" spans="1:6" ht="13.9" x14ac:dyDescent="0.25">
      <c r="A16" s="117" t="str">
        <f>RAB!A82</f>
        <v>H</v>
      </c>
      <c r="B16" s="143" t="str">
        <f>RAB!B82</f>
        <v>PEKERJAAN PLAFOND</v>
      </c>
      <c r="C16" s="94"/>
      <c r="D16" s="93" t="s">
        <v>189</v>
      </c>
      <c r="E16" s="132">
        <f>RAB!N86</f>
        <v>4695545</v>
      </c>
      <c r="F16" s="133"/>
    </row>
    <row r="17" spans="1:6" ht="13.9" x14ac:dyDescent="0.25">
      <c r="A17" s="117" t="str">
        <f>RAB!A88</f>
        <v>I</v>
      </c>
      <c r="B17" s="143" t="str">
        <f>RAB!B88</f>
        <v>PEKERJAAN FINISHING</v>
      </c>
      <c r="C17" s="94"/>
      <c r="D17" s="93" t="s">
        <v>189</v>
      </c>
      <c r="E17" s="132">
        <f>RAB!N92</f>
        <v>13472415.85</v>
      </c>
      <c r="F17" s="133"/>
    </row>
    <row r="18" spans="1:6" ht="13.9" x14ac:dyDescent="0.25">
      <c r="A18" s="117" t="str">
        <f>RAB!A94</f>
        <v>J</v>
      </c>
      <c r="B18" s="143" t="str">
        <f>RAB!B94</f>
        <v xml:space="preserve">PEKERJAAN MEKANIKAL &amp; ELEKTRIKAL </v>
      </c>
      <c r="C18" s="94"/>
      <c r="D18" s="93" t="s">
        <v>189</v>
      </c>
      <c r="E18" s="132">
        <f>RAB!N113</f>
        <v>0</v>
      </c>
      <c r="F18" s="133"/>
    </row>
    <row r="19" spans="1:6" ht="13.9" x14ac:dyDescent="0.25">
      <c r="A19" s="117" t="str">
        <f>RAB!A115</f>
        <v>K</v>
      </c>
      <c r="B19" s="143" t="str">
        <f>RAB!B115</f>
        <v xml:space="preserve">PEKERJAAN SANITASI </v>
      </c>
      <c r="C19" s="94"/>
      <c r="D19" s="93" t="s">
        <v>189</v>
      </c>
      <c r="E19" s="132">
        <f>RAB!N135</f>
        <v>10424100</v>
      </c>
      <c r="F19" s="133"/>
    </row>
    <row r="20" spans="1:6" ht="13.9" x14ac:dyDescent="0.25">
      <c r="A20" s="117" t="str">
        <f>RAB!A137</f>
        <v>L</v>
      </c>
      <c r="B20" s="143" t="str">
        <f>RAB!B137</f>
        <v xml:space="preserve">PEKERJAAN TAMAN </v>
      </c>
      <c r="C20" s="94"/>
      <c r="D20" s="93" t="s">
        <v>189</v>
      </c>
      <c r="E20" s="132">
        <f>RAB!N142</f>
        <v>0</v>
      </c>
      <c r="F20" s="133"/>
    </row>
    <row r="21" spans="1:6" ht="13.9" x14ac:dyDescent="0.25">
      <c r="A21" s="136"/>
      <c r="B21" s="144" t="str">
        <f>RAB!B144</f>
        <v>LANTAI 2</v>
      </c>
      <c r="C21" s="141"/>
      <c r="D21" s="137"/>
      <c r="E21" s="138"/>
      <c r="F21" s="139"/>
    </row>
    <row r="22" spans="1:6" ht="13.9" x14ac:dyDescent="0.25">
      <c r="A22" s="117" t="str">
        <f>RAB!A145</f>
        <v>A</v>
      </c>
      <c r="B22" s="143" t="str">
        <f>RAB!B145</f>
        <v xml:space="preserve">PEKERJAAN PASANGAN </v>
      </c>
      <c r="C22" s="94"/>
      <c r="D22" s="93"/>
      <c r="E22" s="132">
        <f>RAB!N148</f>
        <v>21182559.375</v>
      </c>
      <c r="F22" s="133"/>
    </row>
    <row r="23" spans="1:6" ht="13.9" x14ac:dyDescent="0.25">
      <c r="A23" s="117" t="str">
        <f>RAB!A150</f>
        <v>B</v>
      </c>
      <c r="B23" s="143" t="str">
        <f>RAB!B150</f>
        <v xml:space="preserve">PEKERJAAN PLESTERAN </v>
      </c>
      <c r="C23" s="94"/>
      <c r="D23" s="93" t="s">
        <v>189</v>
      </c>
      <c r="E23" s="132">
        <f>RAB!N154</f>
        <v>21272076.875</v>
      </c>
      <c r="F23" s="133"/>
    </row>
    <row r="24" spans="1:6" ht="13.9" x14ac:dyDescent="0.25">
      <c r="A24" s="117" t="str">
        <f>RAB!A156</f>
        <v>C</v>
      </c>
      <c r="B24" s="143" t="str">
        <f>RAB!B156</f>
        <v xml:space="preserve">PEKERJAAN BETON BERTULANG </v>
      </c>
      <c r="C24" s="94"/>
      <c r="D24" s="93" t="s">
        <v>189</v>
      </c>
      <c r="E24" s="132">
        <f>RAB!N159</f>
        <v>28393033.200000003</v>
      </c>
      <c r="F24" s="133"/>
    </row>
    <row r="25" spans="1:6" ht="13.9" x14ac:dyDescent="0.25">
      <c r="A25" s="117" t="str">
        <f>RAB!A161</f>
        <v>D</v>
      </c>
      <c r="B25" s="143" t="str">
        <f>RAB!B161</f>
        <v xml:space="preserve">PEKERJAAN KERAMIK </v>
      </c>
      <c r="C25" s="94"/>
      <c r="D25" s="93" t="s">
        <v>189</v>
      </c>
      <c r="E25" s="132">
        <f>RAB!N169</f>
        <v>31456985.399999999</v>
      </c>
      <c r="F25" s="133"/>
    </row>
    <row r="26" spans="1:6" ht="13.9" x14ac:dyDescent="0.25">
      <c r="A26" s="117" t="str">
        <f>RAB!A171</f>
        <v>E</v>
      </c>
      <c r="B26" s="143" t="str">
        <f>RAB!B171</f>
        <v>PEKERJAAN PLAFOND</v>
      </c>
      <c r="C26" s="94"/>
      <c r="D26" s="93" t="s">
        <v>189</v>
      </c>
      <c r="E26" s="132">
        <f>RAB!N178</f>
        <v>0</v>
      </c>
      <c r="F26" s="133"/>
    </row>
    <row r="27" spans="1:6" ht="13.9" x14ac:dyDescent="0.25">
      <c r="A27" s="117" t="str">
        <f>RAB!A180</f>
        <v>F</v>
      </c>
      <c r="B27" s="143" t="str">
        <f>RAB!B180</f>
        <v>PEKERJAAN PLAFOND</v>
      </c>
      <c r="C27" s="94"/>
      <c r="D27" s="93" t="s">
        <v>189</v>
      </c>
      <c r="E27" s="132">
        <f>RAB!N183</f>
        <v>4760387.2</v>
      </c>
      <c r="F27" s="133"/>
    </row>
    <row r="28" spans="1:6" ht="13.9" x14ac:dyDescent="0.25">
      <c r="A28" s="117" t="str">
        <f>RAB!A185</f>
        <v>G</v>
      </c>
      <c r="B28" s="143" t="str">
        <f>RAB!B185</f>
        <v xml:space="preserve">PEKERJAAN ATAP </v>
      </c>
      <c r="C28" s="94"/>
      <c r="D28" s="93" t="s">
        <v>189</v>
      </c>
      <c r="E28" s="132">
        <f>RAB!N190</f>
        <v>27210215.719999999</v>
      </c>
      <c r="F28" s="133"/>
    </row>
    <row r="29" spans="1:6" ht="13.9" x14ac:dyDescent="0.25">
      <c r="A29" s="117" t="str">
        <f>RAB!A191</f>
        <v>H</v>
      </c>
      <c r="B29" s="143" t="str">
        <f>RAB!B191</f>
        <v xml:space="preserve">PEKERJAAN FINISHING </v>
      </c>
      <c r="C29" s="94"/>
      <c r="D29" s="93" t="s">
        <v>189</v>
      </c>
      <c r="E29" s="132">
        <f>RAB!N195</f>
        <v>8536289</v>
      </c>
      <c r="F29" s="133"/>
    </row>
    <row r="30" spans="1:6" ht="13.9" x14ac:dyDescent="0.25">
      <c r="A30" s="117" t="str">
        <f>RAB!A196</f>
        <v>I</v>
      </c>
      <c r="B30" s="143" t="str">
        <f>RAB!B196</f>
        <v xml:space="preserve">PEKERJAAN MEKANIKAL &amp; ELEKTRIKAL </v>
      </c>
      <c r="C30" s="94"/>
      <c r="D30" s="93" t="s">
        <v>189</v>
      </c>
      <c r="E30" s="132">
        <f>RAB!N210</f>
        <v>0</v>
      </c>
      <c r="F30" s="133"/>
    </row>
    <row r="31" spans="1:6" x14ac:dyDescent="0.3">
      <c r="A31" s="117" t="str">
        <f>RAB!A212</f>
        <v>J</v>
      </c>
      <c r="B31" s="143" t="str">
        <f>RAB!B212</f>
        <v xml:space="preserve">PEKERJAAN SANITASI </v>
      </c>
      <c r="C31" s="94"/>
      <c r="D31" s="93" t="s">
        <v>189</v>
      </c>
      <c r="E31" s="132">
        <f>RAB!N231</f>
        <v>0</v>
      </c>
      <c r="F31" s="133"/>
    </row>
    <row r="32" spans="1:6" x14ac:dyDescent="0.3">
      <c r="A32" s="122" t="str">
        <f>RAB!A233</f>
        <v>K</v>
      </c>
      <c r="B32" s="145" t="str">
        <f>RAB!B233</f>
        <v xml:space="preserve">PEKERJAAN LAIN-LAIN </v>
      </c>
      <c r="C32" s="120"/>
      <c r="D32" s="95" t="s">
        <v>189</v>
      </c>
      <c r="E32" s="146">
        <f>RAB!N235</f>
        <v>4452800</v>
      </c>
      <c r="F32" s="147"/>
    </row>
    <row r="33" spans="1:6" ht="17.25" thickBot="1" x14ac:dyDescent="0.35">
      <c r="A33" s="119"/>
      <c r="B33" s="148"/>
      <c r="C33" s="96"/>
      <c r="D33" s="134"/>
      <c r="E33" s="134"/>
      <c r="F33" s="135"/>
    </row>
    <row r="34" spans="1:6" x14ac:dyDescent="0.3">
      <c r="A34" s="97"/>
      <c r="B34" s="98"/>
      <c r="C34" s="99" t="s">
        <v>190</v>
      </c>
      <c r="D34" s="100" t="s">
        <v>189</v>
      </c>
      <c r="E34" s="101">
        <f>SUM(E9:E33)</f>
        <v>396726691.64300001</v>
      </c>
      <c r="F34" s="102"/>
    </row>
    <row r="35" spans="1:6" x14ac:dyDescent="0.3">
      <c r="A35" s="103"/>
      <c r="B35" s="104"/>
      <c r="C35" s="105" t="s">
        <v>191</v>
      </c>
      <c r="D35" s="106" t="s">
        <v>189</v>
      </c>
      <c r="E35" s="107">
        <f>E34</f>
        <v>396726691.64300001</v>
      </c>
      <c r="F35" s="108"/>
    </row>
    <row r="36" spans="1:6" x14ac:dyDescent="0.3">
      <c r="A36" s="103"/>
      <c r="B36" s="104"/>
      <c r="C36" s="105" t="s">
        <v>192</v>
      </c>
      <c r="D36" s="106"/>
      <c r="E36" s="109">
        <v>90</v>
      </c>
      <c r="F36" s="108" t="s">
        <v>14</v>
      </c>
    </row>
    <row r="37" spans="1:6" ht="17.25" thickBot="1" x14ac:dyDescent="0.35">
      <c r="A37" s="110"/>
      <c r="B37" s="111"/>
      <c r="C37" s="112" t="s">
        <v>193</v>
      </c>
      <c r="D37" s="113" t="s">
        <v>189</v>
      </c>
      <c r="E37" s="114">
        <f>E35/E36</f>
        <v>4408074.351588889</v>
      </c>
      <c r="F37" s="115" t="s">
        <v>194</v>
      </c>
    </row>
    <row r="39" spans="1:6" x14ac:dyDescent="0.3">
      <c r="E39" s="377">
        <v>396726691.64300001</v>
      </c>
    </row>
  </sheetData>
  <mergeCells count="3">
    <mergeCell ref="A1:F1"/>
    <mergeCell ref="B7:C7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zoomScaleNormal="100" workbookViewId="0">
      <pane xSplit="3" ySplit="8" topLeftCell="H12" activePane="bottomRight" state="frozen"/>
      <selection pane="topRight" activeCell="D1" sqref="D1"/>
      <selection pane="bottomLeft" activeCell="A9" sqref="A9"/>
      <selection pane="bottomRight" activeCell="I2" sqref="I2"/>
    </sheetView>
  </sheetViews>
  <sheetFormatPr defaultRowHeight="15" x14ac:dyDescent="0.25"/>
  <cols>
    <col min="1" max="1" width="4.5703125" customWidth="1"/>
    <col min="2" max="2" width="15.28515625" customWidth="1"/>
    <col min="3" max="3" width="38.5703125" customWidth="1"/>
    <col min="4" max="4" width="11.42578125" customWidth="1"/>
    <col min="5" max="5" width="10.85546875" bestFit="1" customWidth="1"/>
    <col min="6" max="7" width="8.28515625" bestFit="1" customWidth="1"/>
    <col min="9" max="9" width="10" bestFit="1" customWidth="1"/>
    <col min="10" max="10" width="9.5703125" bestFit="1" customWidth="1"/>
    <col min="11" max="11" width="5" customWidth="1"/>
    <col min="12" max="12" width="11.28515625" bestFit="1" customWidth="1"/>
    <col min="13" max="13" width="4.5703125" bestFit="1" customWidth="1"/>
    <col min="14" max="14" width="12.28515625" bestFit="1" customWidth="1"/>
    <col min="16" max="16" width="12.7109375" bestFit="1" customWidth="1"/>
  </cols>
  <sheetData>
    <row r="1" spans="1:16" ht="23.25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6" ht="18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</row>
    <row r="3" spans="1:16" ht="18" x14ac:dyDescent="0.25">
      <c r="A3" s="3" t="s">
        <v>1</v>
      </c>
      <c r="B3" s="3"/>
      <c r="C3" s="4" t="s">
        <v>195</v>
      </c>
      <c r="E3" s="3"/>
      <c r="F3" s="3"/>
      <c r="G3" s="3"/>
      <c r="H3" s="4"/>
      <c r="I3" s="4"/>
      <c r="J3" s="5"/>
      <c r="K3" s="1"/>
      <c r="L3" s="1"/>
      <c r="M3" s="1"/>
      <c r="N3" s="1"/>
    </row>
    <row r="4" spans="1:16" ht="18" x14ac:dyDescent="0.25">
      <c r="A4" s="3" t="s">
        <v>196</v>
      </c>
      <c r="B4" s="3"/>
      <c r="C4" s="4" t="s">
        <v>197</v>
      </c>
      <c r="E4" s="3"/>
      <c r="F4" s="3"/>
      <c r="G4" s="3"/>
      <c r="H4" s="4"/>
      <c r="I4" s="4"/>
      <c r="J4" s="5"/>
      <c r="K4" s="1"/>
      <c r="L4" s="1"/>
      <c r="M4" s="1"/>
      <c r="N4" s="1"/>
    </row>
    <row r="5" spans="1:16" ht="18" x14ac:dyDescent="0.25">
      <c r="A5" s="3" t="s">
        <v>198</v>
      </c>
      <c r="B5" s="6"/>
      <c r="C5" s="4" t="s">
        <v>199</v>
      </c>
      <c r="E5" s="6"/>
      <c r="F5" s="6"/>
      <c r="G5" s="6"/>
      <c r="H5" s="4"/>
      <c r="I5" s="4"/>
      <c r="J5" s="5"/>
      <c r="K5" s="1"/>
      <c r="L5" s="1"/>
      <c r="M5" s="1"/>
      <c r="N5" s="1"/>
    </row>
    <row r="6" spans="1:16" ht="15.75" thickBot="1" x14ac:dyDescent="0.3">
      <c r="A6" s="5"/>
      <c r="B6" s="5"/>
      <c r="C6" s="5"/>
      <c r="D6" s="5"/>
      <c r="E6" s="5"/>
      <c r="F6" s="5"/>
      <c r="G6" s="5"/>
      <c r="H6" s="7"/>
      <c r="I6" s="7"/>
      <c r="J6" s="8"/>
      <c r="K6" s="5"/>
      <c r="L6" s="9"/>
      <c r="M6" s="5"/>
      <c r="N6" s="9"/>
    </row>
    <row r="7" spans="1:16" ht="16.5" thickBot="1" x14ac:dyDescent="0.3">
      <c r="A7" s="10" t="s">
        <v>3</v>
      </c>
      <c r="B7" s="231" t="s">
        <v>4</v>
      </c>
      <c r="C7" s="232"/>
      <c r="D7" s="11" t="s">
        <v>5</v>
      </c>
      <c r="E7" s="11" t="s">
        <v>6</v>
      </c>
      <c r="F7" s="11" t="s">
        <v>7</v>
      </c>
      <c r="G7" s="11" t="s">
        <v>8</v>
      </c>
      <c r="H7" s="11" t="s">
        <v>2</v>
      </c>
      <c r="I7" s="11" t="s">
        <v>9</v>
      </c>
      <c r="J7" s="11" t="s">
        <v>10</v>
      </c>
      <c r="K7" s="228" t="s">
        <v>11</v>
      </c>
      <c r="L7" s="229"/>
      <c r="M7" s="228" t="s">
        <v>5</v>
      </c>
      <c r="N7" s="230"/>
    </row>
    <row r="8" spans="1:16" ht="16.5" thickTop="1" x14ac:dyDescent="0.25">
      <c r="A8" s="179" t="s">
        <v>200</v>
      </c>
      <c r="B8" s="233" t="s">
        <v>201</v>
      </c>
      <c r="C8" s="234"/>
      <c r="D8" s="180" t="s">
        <v>202</v>
      </c>
      <c r="E8" s="180" t="s">
        <v>203</v>
      </c>
      <c r="F8" s="180" t="s">
        <v>204</v>
      </c>
      <c r="G8" s="180" t="s">
        <v>205</v>
      </c>
      <c r="H8" s="180" t="s">
        <v>206</v>
      </c>
      <c r="I8" s="180" t="s">
        <v>207</v>
      </c>
      <c r="J8" s="180" t="s">
        <v>208</v>
      </c>
      <c r="K8" s="180"/>
      <c r="L8" s="180" t="s">
        <v>209</v>
      </c>
      <c r="M8" s="180"/>
      <c r="N8" s="180" t="s">
        <v>210</v>
      </c>
    </row>
    <row r="9" spans="1:16" ht="15.75" x14ac:dyDescent="0.25">
      <c r="A9" s="73"/>
      <c r="B9" s="149" t="s">
        <v>116</v>
      </c>
      <c r="C9" s="150"/>
      <c r="D9" s="74"/>
      <c r="E9" s="74"/>
      <c r="F9" s="74"/>
      <c r="G9" s="74"/>
      <c r="H9" s="74"/>
      <c r="I9" s="74"/>
      <c r="J9" s="75"/>
      <c r="K9" s="75"/>
      <c r="L9" s="75"/>
      <c r="M9" s="75"/>
      <c r="N9" s="76"/>
    </row>
    <row r="10" spans="1:16" ht="15.75" x14ac:dyDescent="0.25">
      <c r="A10" s="77" t="s">
        <v>12</v>
      </c>
      <c r="B10" s="151" t="s">
        <v>13</v>
      </c>
      <c r="C10" s="152"/>
      <c r="D10" s="14"/>
      <c r="E10" s="14"/>
      <c r="F10" s="14"/>
      <c r="G10" s="14"/>
      <c r="H10" s="14"/>
      <c r="I10" s="14"/>
      <c r="J10" s="13"/>
      <c r="K10" s="13"/>
      <c r="L10" s="13"/>
      <c r="M10" s="13"/>
      <c r="N10" s="15"/>
    </row>
    <row r="11" spans="1:16" ht="15.75" x14ac:dyDescent="0.25">
      <c r="A11" s="16">
        <v>1</v>
      </c>
      <c r="B11" s="153" t="s">
        <v>130</v>
      </c>
      <c r="C11" s="154"/>
      <c r="D11" s="18"/>
      <c r="E11" s="18">
        <v>18.024999999999999</v>
      </c>
      <c r="F11" s="18">
        <v>7.5810000000000004</v>
      </c>
      <c r="G11" s="18"/>
      <c r="H11" s="18">
        <f>E11*F11</f>
        <v>136.647525</v>
      </c>
      <c r="I11" s="18"/>
      <c r="J11" s="17" t="str">
        <f>AHSP!E9</f>
        <v>m2</v>
      </c>
      <c r="K11" s="17" t="s">
        <v>15</v>
      </c>
      <c r="L11" s="19">
        <f>AHSP!I15</f>
        <v>13000</v>
      </c>
      <c r="M11" s="17" t="s">
        <v>15</v>
      </c>
      <c r="N11" s="20">
        <f>L11*H11</f>
        <v>1776417.825</v>
      </c>
    </row>
    <row r="12" spans="1:16" ht="15.75" x14ac:dyDescent="0.25">
      <c r="A12" s="21">
        <v>2</v>
      </c>
      <c r="B12" s="155" t="s">
        <v>131</v>
      </c>
      <c r="C12" s="156"/>
      <c r="D12" s="23">
        <f>(18.025+7.58)*2</f>
        <v>51.209999999999994</v>
      </c>
      <c r="E12" s="24"/>
      <c r="F12" s="24"/>
      <c r="G12" s="24"/>
      <c r="H12" s="25"/>
      <c r="I12" s="23"/>
      <c r="J12" s="22" t="str">
        <f>AHSP!E17</f>
        <v>m1</v>
      </c>
      <c r="K12" s="22" t="s">
        <v>15</v>
      </c>
      <c r="L12" s="22">
        <f>AHSP!I28</f>
        <v>79800</v>
      </c>
      <c r="M12" s="22" t="s">
        <v>15</v>
      </c>
      <c r="N12" s="26">
        <f>L12*D12</f>
        <v>4086557.9999999995</v>
      </c>
    </row>
    <row r="13" spans="1:16" ht="15.75" x14ac:dyDescent="0.25">
      <c r="A13" s="27"/>
      <c r="B13" s="65"/>
      <c r="C13" s="157"/>
      <c r="D13" s="28"/>
      <c r="E13" s="28"/>
      <c r="F13" s="28"/>
      <c r="G13" s="28"/>
      <c r="H13" s="28"/>
      <c r="I13" s="28"/>
      <c r="J13" s="27"/>
      <c r="K13" s="29" t="s">
        <v>17</v>
      </c>
      <c r="L13" s="29"/>
      <c r="M13" s="29" t="s">
        <v>15</v>
      </c>
      <c r="N13" s="30">
        <f>SUM(N11:N12)</f>
        <v>5862975.8249999993</v>
      </c>
      <c r="P13" s="220">
        <f>N13+N20+N28+N34+N53+N66+N86+N92+N135+N148+N154+N159+N169+N183+N190+N195+N235</f>
        <v>408816285.28100002</v>
      </c>
    </row>
    <row r="14" spans="1:16" ht="15.75" x14ac:dyDescent="0.25">
      <c r="A14" s="27"/>
      <c r="B14" s="65"/>
      <c r="C14" s="157"/>
      <c r="D14" s="28"/>
      <c r="E14" s="28"/>
      <c r="F14" s="28"/>
      <c r="G14" s="28"/>
      <c r="H14" s="28"/>
      <c r="I14" s="28"/>
      <c r="J14" s="27"/>
      <c r="K14" s="27"/>
      <c r="L14" s="27"/>
      <c r="M14" s="27"/>
      <c r="N14" s="31"/>
    </row>
    <row r="15" spans="1:16" ht="15.75" x14ac:dyDescent="0.25">
      <c r="A15" s="77" t="s">
        <v>18</v>
      </c>
      <c r="B15" s="151" t="s">
        <v>19</v>
      </c>
      <c r="C15" s="152"/>
      <c r="D15" s="14"/>
      <c r="E15" s="14"/>
      <c r="F15" s="14"/>
      <c r="G15" s="14"/>
      <c r="H15" s="14"/>
      <c r="I15" s="14"/>
      <c r="J15" s="13"/>
      <c r="K15" s="13"/>
      <c r="L15" s="13"/>
      <c r="M15" s="13"/>
      <c r="N15" s="15"/>
    </row>
    <row r="16" spans="1:16" ht="15.75" x14ac:dyDescent="0.25">
      <c r="A16" s="16">
        <v>1</v>
      </c>
      <c r="B16" s="153" t="s">
        <v>51</v>
      </c>
      <c r="C16" s="154"/>
      <c r="D16" s="18"/>
      <c r="E16" s="18">
        <f>7.581*4+8.5*3+4.05*2+3*2</f>
        <v>69.924000000000007</v>
      </c>
      <c r="F16" s="18">
        <f>(0.8+1.2)/2</f>
        <v>1</v>
      </c>
      <c r="G16" s="18">
        <v>0.7</v>
      </c>
      <c r="H16" s="32"/>
      <c r="I16" s="33">
        <f>G16*F16*E16</f>
        <v>48.946800000000003</v>
      </c>
      <c r="J16" s="17" t="str">
        <f>AHSP!E35</f>
        <v>m3</v>
      </c>
      <c r="K16" s="17" t="s">
        <v>15</v>
      </c>
      <c r="L16" s="17">
        <f>AHSP!I41</f>
        <v>50900</v>
      </c>
      <c r="M16" s="17" t="s">
        <v>15</v>
      </c>
      <c r="N16" s="20">
        <f t="shared" ref="N16:N18" si="0">L16*I16</f>
        <v>2491392.12</v>
      </c>
    </row>
    <row r="17" spans="1:16" ht="15.75" x14ac:dyDescent="0.25">
      <c r="A17" s="16">
        <v>2</v>
      </c>
      <c r="B17" s="153" t="s">
        <v>52</v>
      </c>
      <c r="C17" s="154"/>
      <c r="D17" s="18">
        <v>15</v>
      </c>
      <c r="E17" s="18">
        <v>1</v>
      </c>
      <c r="F17" s="18">
        <v>1</v>
      </c>
      <c r="G17" s="18">
        <v>0.2</v>
      </c>
      <c r="H17" s="34"/>
      <c r="I17" s="33">
        <f>D17*E17*F17*G17</f>
        <v>3</v>
      </c>
      <c r="J17" s="17" t="str">
        <f>AHSP!E43</f>
        <v>m3</v>
      </c>
      <c r="K17" s="17" t="s">
        <v>15</v>
      </c>
      <c r="L17" s="17">
        <f>AHSP!I49</f>
        <v>50900</v>
      </c>
      <c r="M17" s="17" t="s">
        <v>15</v>
      </c>
      <c r="N17" s="20">
        <f t="shared" si="0"/>
        <v>152700</v>
      </c>
    </row>
    <row r="18" spans="1:16" ht="15.75" x14ac:dyDescent="0.25">
      <c r="A18" s="16">
        <v>5</v>
      </c>
      <c r="B18" s="153" t="s">
        <v>21</v>
      </c>
      <c r="C18" s="154"/>
      <c r="D18" s="18"/>
      <c r="E18" s="18"/>
      <c r="F18" s="18"/>
      <c r="G18" s="18"/>
      <c r="H18" s="35"/>
      <c r="I18" s="36">
        <f>I16*1/3</f>
        <v>16.3156</v>
      </c>
      <c r="J18" s="17" t="str">
        <f>AHSP!E50</f>
        <v>m3</v>
      </c>
      <c r="K18" s="17" t="s">
        <v>15</v>
      </c>
      <c r="L18" s="17">
        <f>AHSP!I56</f>
        <v>45200</v>
      </c>
      <c r="M18" s="17" t="s">
        <v>15</v>
      </c>
      <c r="N18" s="20">
        <f t="shared" si="0"/>
        <v>737465.12</v>
      </c>
    </row>
    <row r="19" spans="1:16" ht="15.75" x14ac:dyDescent="0.25">
      <c r="A19" s="16">
        <v>8</v>
      </c>
      <c r="B19" s="158" t="s">
        <v>132</v>
      </c>
      <c r="C19" s="159"/>
      <c r="D19" s="38"/>
      <c r="E19" s="38">
        <f>E16</f>
        <v>69.924000000000007</v>
      </c>
      <c r="F19" s="38">
        <f>F16</f>
        <v>1</v>
      </c>
      <c r="G19" s="38">
        <v>0.1</v>
      </c>
      <c r="H19" s="39"/>
      <c r="I19" s="33">
        <f>G19*F19*E19</f>
        <v>6.9924000000000008</v>
      </c>
      <c r="J19" s="17" t="str">
        <f>AHSP!E58</f>
        <v>m3</v>
      </c>
      <c r="K19" s="37" t="s">
        <v>15</v>
      </c>
      <c r="L19" s="37">
        <f>AHSP!I83</f>
        <v>348100</v>
      </c>
      <c r="M19" s="37" t="s">
        <v>15</v>
      </c>
      <c r="N19" s="40">
        <f>L19*I19</f>
        <v>2434054.4400000004</v>
      </c>
      <c r="P19">
        <f>54.399+34.95</f>
        <v>89.349000000000004</v>
      </c>
    </row>
    <row r="20" spans="1:16" ht="15.75" x14ac:dyDescent="0.25">
      <c r="A20" s="41"/>
      <c r="B20" s="65"/>
      <c r="C20" s="157"/>
      <c r="D20" s="28"/>
      <c r="E20" s="28"/>
      <c r="F20" s="28"/>
      <c r="G20" s="28"/>
      <c r="H20" s="28"/>
      <c r="I20" s="28"/>
      <c r="J20" s="27"/>
      <c r="K20" s="29" t="s">
        <v>22</v>
      </c>
      <c r="L20" s="29"/>
      <c r="M20" s="29" t="s">
        <v>15</v>
      </c>
      <c r="N20" s="30">
        <f>SUM(N16:N19)</f>
        <v>5815611.6800000006</v>
      </c>
      <c r="P20">
        <v>90</v>
      </c>
    </row>
    <row r="21" spans="1:16" ht="15.75" x14ac:dyDescent="0.25">
      <c r="A21" s="42"/>
      <c r="B21" s="160"/>
      <c r="C21" s="161"/>
      <c r="D21" s="44"/>
      <c r="E21" s="44"/>
      <c r="F21" s="44"/>
      <c r="G21" s="44"/>
      <c r="H21" s="44"/>
      <c r="I21" s="44"/>
      <c r="J21" s="43"/>
      <c r="K21" s="43"/>
      <c r="L21" s="43"/>
      <c r="M21" s="43"/>
      <c r="N21" s="45"/>
      <c r="P21" s="221">
        <f>P13/P20</f>
        <v>4542403.1697888887</v>
      </c>
    </row>
    <row r="22" spans="1:16" ht="15.75" x14ac:dyDescent="0.25">
      <c r="A22" s="77" t="s">
        <v>23</v>
      </c>
      <c r="B22" s="151" t="s">
        <v>24</v>
      </c>
      <c r="C22" s="152"/>
      <c r="D22" s="14"/>
      <c r="E22" s="14"/>
      <c r="F22" s="14"/>
      <c r="G22" s="14"/>
      <c r="H22" s="14"/>
      <c r="I22" s="14"/>
      <c r="J22" s="13"/>
      <c r="K22" s="13"/>
      <c r="L22" s="13"/>
      <c r="M22" s="13"/>
      <c r="N22" s="15"/>
    </row>
    <row r="23" spans="1:16" ht="15.75" x14ac:dyDescent="0.25">
      <c r="A23" s="16">
        <v>1</v>
      </c>
      <c r="B23" s="153" t="s">
        <v>133</v>
      </c>
      <c r="C23" s="154"/>
      <c r="D23" s="18"/>
      <c r="E23" s="18">
        <f>E16</f>
        <v>69.924000000000007</v>
      </c>
      <c r="F23" s="18">
        <f>(0.6+0.3)/2</f>
        <v>0.44999999999999996</v>
      </c>
      <c r="G23" s="18">
        <v>0.5</v>
      </c>
      <c r="H23" s="33"/>
      <c r="I23" s="33">
        <f>G23*F23*E23</f>
        <v>15.732900000000001</v>
      </c>
      <c r="J23" s="17" t="str">
        <f>AHSP!E90</f>
        <v>m3</v>
      </c>
      <c r="K23" s="17" t="s">
        <v>15</v>
      </c>
      <c r="L23" s="17">
        <f>AHSP!I102</f>
        <v>670700</v>
      </c>
      <c r="M23" s="17" t="s">
        <v>15</v>
      </c>
      <c r="N23" s="20">
        <f>L23*I23</f>
        <v>10552056.030000001</v>
      </c>
    </row>
    <row r="24" spans="1:16" ht="15.75" x14ac:dyDescent="0.25">
      <c r="A24" s="16">
        <v>2</v>
      </c>
      <c r="B24" s="153" t="s">
        <v>134</v>
      </c>
      <c r="C24" s="154"/>
      <c r="D24" s="18"/>
      <c r="E24" s="18">
        <f>E23</f>
        <v>69.924000000000007</v>
      </c>
      <c r="F24" s="18">
        <v>0.8</v>
      </c>
      <c r="G24" s="18">
        <v>0.15</v>
      </c>
      <c r="H24" s="33"/>
      <c r="I24" s="33">
        <f>G24*F24*E24</f>
        <v>8.390880000000001</v>
      </c>
      <c r="J24" s="17" t="str">
        <f>AHSP!E104</f>
        <v>m3</v>
      </c>
      <c r="K24" s="17" t="s">
        <v>15</v>
      </c>
      <c r="L24" s="17">
        <f>AHSP!I114</f>
        <v>430000</v>
      </c>
      <c r="M24" s="17" t="s">
        <v>15</v>
      </c>
      <c r="N24" s="20">
        <f>L24*I24</f>
        <v>3608078.4000000004</v>
      </c>
    </row>
    <row r="25" spans="1:16" ht="15.75" x14ac:dyDescent="0.25">
      <c r="A25" s="16">
        <v>3</v>
      </c>
      <c r="B25" s="153" t="s">
        <v>135</v>
      </c>
      <c r="C25" s="154"/>
      <c r="D25" s="18"/>
      <c r="E25" s="18">
        <v>6.45</v>
      </c>
      <c r="F25" s="18"/>
      <c r="G25" s="18">
        <v>2.5</v>
      </c>
      <c r="H25" s="18">
        <f>G25*E25*70%</f>
        <v>11.2875</v>
      </c>
      <c r="I25" s="18"/>
      <c r="J25" s="17" t="str">
        <f>AHSP!E118</f>
        <v>m2</v>
      </c>
      <c r="K25" s="17" t="s">
        <v>15</v>
      </c>
      <c r="L25" s="17">
        <f>AHSP!I129</f>
        <v>139200</v>
      </c>
      <c r="M25" s="17" t="s">
        <v>15</v>
      </c>
      <c r="N25" s="20">
        <f>L25*H25</f>
        <v>1571220</v>
      </c>
    </row>
    <row r="26" spans="1:16" ht="15.75" x14ac:dyDescent="0.25">
      <c r="A26" s="16">
        <v>4</v>
      </c>
      <c r="B26" s="153" t="s">
        <v>136</v>
      </c>
      <c r="C26" s="154"/>
      <c r="D26" s="18"/>
      <c r="E26" s="18">
        <v>54.95</v>
      </c>
      <c r="F26" s="18"/>
      <c r="G26" s="18">
        <v>2.8</v>
      </c>
      <c r="H26" s="18">
        <f>G26*E26*95%</f>
        <v>146.16699999999997</v>
      </c>
      <c r="I26" s="18"/>
      <c r="J26" s="17" t="str">
        <f>AHSP!E134</f>
        <v>m2</v>
      </c>
      <c r="K26" s="17" t="s">
        <v>15</v>
      </c>
      <c r="L26" s="17">
        <f>AHSP!I145</f>
        <v>133500</v>
      </c>
      <c r="M26" s="17" t="s">
        <v>15</v>
      </c>
      <c r="N26" s="20">
        <f>H26*L26</f>
        <v>19513294.499999996</v>
      </c>
    </row>
    <row r="27" spans="1:16" ht="15.75" x14ac:dyDescent="0.25">
      <c r="A27" s="16">
        <v>5</v>
      </c>
      <c r="B27" s="158" t="s">
        <v>137</v>
      </c>
      <c r="C27" s="159"/>
      <c r="D27" s="38"/>
      <c r="E27" s="38">
        <v>2.7</v>
      </c>
      <c r="F27" s="38"/>
      <c r="G27" s="38">
        <v>1.8</v>
      </c>
      <c r="H27" s="18">
        <f>G27*E27</f>
        <v>4.8600000000000003</v>
      </c>
      <c r="I27" s="38"/>
      <c r="J27" s="37" t="str">
        <f>AHSP!E148</f>
        <v>m2</v>
      </c>
      <c r="K27" s="37" t="s">
        <v>15</v>
      </c>
      <c r="L27" s="37">
        <f>AHSP!I158</f>
        <v>160700</v>
      </c>
      <c r="M27" s="37" t="s">
        <v>15</v>
      </c>
      <c r="N27" s="40">
        <f>L27*H27</f>
        <v>781002</v>
      </c>
    </row>
    <row r="28" spans="1:16" ht="15.75" x14ac:dyDescent="0.25">
      <c r="A28" s="41"/>
      <c r="B28" s="65"/>
      <c r="C28" s="157"/>
      <c r="D28" s="28"/>
      <c r="E28" s="28"/>
      <c r="F28" s="28"/>
      <c r="G28" s="28"/>
      <c r="H28" s="28"/>
      <c r="I28" s="28"/>
      <c r="J28" s="27"/>
      <c r="K28" s="29" t="s">
        <v>26</v>
      </c>
      <c r="L28" s="29"/>
      <c r="M28" s="29" t="s">
        <v>15</v>
      </c>
      <c r="N28" s="30">
        <f>SUM(N23:N27)</f>
        <v>36025650.93</v>
      </c>
    </row>
    <row r="29" spans="1:16" ht="15.75" x14ac:dyDescent="0.25">
      <c r="A29" s="42"/>
      <c r="B29" s="160"/>
      <c r="C29" s="161"/>
      <c r="D29" s="44"/>
      <c r="E29" s="44"/>
      <c r="F29" s="44"/>
      <c r="G29" s="44"/>
      <c r="H29" s="44"/>
      <c r="I29" s="44"/>
      <c r="J29" s="43"/>
      <c r="K29" s="43"/>
      <c r="L29" s="43"/>
      <c r="M29" s="43"/>
      <c r="N29" s="45"/>
    </row>
    <row r="30" spans="1:16" ht="15.75" x14ac:dyDescent="0.25">
      <c r="A30" s="78" t="s">
        <v>27</v>
      </c>
      <c r="B30" s="162" t="s">
        <v>28</v>
      </c>
      <c r="C30" s="163"/>
      <c r="D30" s="18"/>
      <c r="E30" s="18"/>
      <c r="F30" s="18"/>
      <c r="G30" s="18"/>
      <c r="H30" s="18"/>
      <c r="I30" s="18"/>
      <c r="J30" s="17"/>
      <c r="K30" s="17"/>
      <c r="L30" s="17"/>
      <c r="M30" s="17"/>
      <c r="N30" s="20"/>
    </row>
    <row r="31" spans="1:16" ht="15.75" x14ac:dyDescent="0.25">
      <c r="A31" s="16">
        <v>1</v>
      </c>
      <c r="B31" s="164" t="s">
        <v>138</v>
      </c>
      <c r="C31" s="165"/>
      <c r="D31" s="38"/>
      <c r="E31" s="38"/>
      <c r="F31" s="38"/>
      <c r="G31" s="38"/>
      <c r="H31" s="38">
        <f>H25+H26*2</f>
        <v>303.62149999999997</v>
      </c>
      <c r="I31" s="38"/>
      <c r="J31" s="17" t="s">
        <v>14</v>
      </c>
      <c r="K31" s="17" t="s">
        <v>15</v>
      </c>
      <c r="L31" s="17">
        <f>AHSP!I177</f>
        <v>50300</v>
      </c>
      <c r="M31" s="17" t="s">
        <v>15</v>
      </c>
      <c r="N31" s="20">
        <f>H31*L31</f>
        <v>15272161.449999999</v>
      </c>
    </row>
    <row r="32" spans="1:16" ht="15.75" x14ac:dyDescent="0.25">
      <c r="A32" s="46">
        <f>A31+1</f>
        <v>2</v>
      </c>
      <c r="B32" s="166" t="s">
        <v>53</v>
      </c>
      <c r="C32" s="167"/>
      <c r="D32" s="47"/>
      <c r="E32" s="47">
        <f>20*3.15*4*87%</f>
        <v>219.24</v>
      </c>
      <c r="F32" s="47"/>
      <c r="G32" s="47"/>
      <c r="H32" s="47"/>
      <c r="I32" s="47"/>
      <c r="J32" s="48" t="s">
        <v>16</v>
      </c>
      <c r="K32" s="48" t="s">
        <v>15</v>
      </c>
      <c r="L32" s="48">
        <f>AHSP!I212</f>
        <v>52500</v>
      </c>
      <c r="M32" s="48" t="s">
        <v>15</v>
      </c>
      <c r="N32" s="49">
        <f>L32*E32</f>
        <v>11510100</v>
      </c>
    </row>
    <row r="33" spans="1:14" ht="15.75" x14ac:dyDescent="0.25">
      <c r="A33" s="16">
        <v>3</v>
      </c>
      <c r="B33" s="168" t="s">
        <v>1337</v>
      </c>
      <c r="C33" s="169"/>
      <c r="D33" s="50"/>
      <c r="E33" s="50"/>
      <c r="F33" s="50"/>
      <c r="G33" s="50"/>
      <c r="H33" s="50">
        <f>H31</f>
        <v>303.62149999999997</v>
      </c>
      <c r="I33" s="50"/>
      <c r="J33" s="51" t="s">
        <v>14</v>
      </c>
      <c r="K33" s="51" t="s">
        <v>15</v>
      </c>
      <c r="L33" s="51">
        <f>AHSP!I200</f>
        <v>32400</v>
      </c>
      <c r="M33" s="51"/>
      <c r="N33" s="52">
        <f>L33*H33</f>
        <v>9837336.5999999996</v>
      </c>
    </row>
    <row r="34" spans="1:14" ht="15.75" x14ac:dyDescent="0.25">
      <c r="A34" s="41"/>
      <c r="B34" s="65"/>
      <c r="C34" s="157"/>
      <c r="D34" s="28"/>
      <c r="E34" s="28"/>
      <c r="F34" s="28"/>
      <c r="G34" s="28"/>
      <c r="H34" s="28"/>
      <c r="I34" s="28"/>
      <c r="J34" s="27"/>
      <c r="K34" s="29" t="s">
        <v>29</v>
      </c>
      <c r="L34" s="29"/>
      <c r="M34" s="29" t="s">
        <v>15</v>
      </c>
      <c r="N34" s="53">
        <f>SUM(N31:N33)</f>
        <v>36619598.049999997</v>
      </c>
    </row>
    <row r="35" spans="1:14" ht="15.75" x14ac:dyDescent="0.25">
      <c r="A35" s="41"/>
      <c r="B35" s="65"/>
      <c r="C35" s="157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31"/>
    </row>
    <row r="36" spans="1:14" ht="15.75" x14ac:dyDescent="0.25">
      <c r="A36" s="42"/>
      <c r="B36" s="160"/>
      <c r="C36" s="161"/>
      <c r="D36" s="44"/>
      <c r="E36" s="44"/>
      <c r="F36" s="44"/>
      <c r="G36" s="44"/>
      <c r="H36" s="44"/>
      <c r="I36" s="44"/>
      <c r="J36" s="43"/>
      <c r="K36" s="43"/>
      <c r="L36" s="43"/>
      <c r="M36" s="43"/>
      <c r="N36" s="45"/>
    </row>
    <row r="37" spans="1:14" ht="15.75" x14ac:dyDescent="0.25">
      <c r="A37" s="77" t="s">
        <v>30</v>
      </c>
      <c r="B37" s="151" t="s">
        <v>32</v>
      </c>
      <c r="C37" s="152"/>
      <c r="D37" s="14"/>
      <c r="E37" s="14"/>
      <c r="F37" s="14"/>
      <c r="G37" s="14"/>
      <c r="H37" s="14"/>
      <c r="I37" s="14"/>
      <c r="J37" s="13"/>
      <c r="K37" s="13"/>
      <c r="L37" s="13"/>
      <c r="M37" s="13"/>
      <c r="N37" s="15"/>
    </row>
    <row r="38" spans="1:14" ht="15.75" x14ac:dyDescent="0.25">
      <c r="A38" s="12">
        <v>1</v>
      </c>
      <c r="B38" s="153" t="s">
        <v>139</v>
      </c>
      <c r="C38" s="170"/>
      <c r="D38" s="14"/>
      <c r="E38" s="14"/>
      <c r="F38" s="14"/>
      <c r="G38" s="14"/>
      <c r="H38" s="14"/>
      <c r="I38" s="14">
        <f>I40+I41-I47</f>
        <v>16.309974000000004</v>
      </c>
      <c r="J38" s="17" t="str">
        <f>AHSP!E219</f>
        <v>m3</v>
      </c>
      <c r="K38" s="17" t="s">
        <v>15</v>
      </c>
      <c r="L38" s="17">
        <f>AHSP!I231</f>
        <v>1124400</v>
      </c>
      <c r="M38" s="17" t="s">
        <v>15</v>
      </c>
      <c r="N38" s="20">
        <f t="shared" ref="N38:N50" si="1">L38*I38</f>
        <v>18338934.765600003</v>
      </c>
    </row>
    <row r="39" spans="1:14" ht="15.75" x14ac:dyDescent="0.25">
      <c r="A39" s="12">
        <v>2</v>
      </c>
      <c r="B39" s="153" t="s">
        <v>1189</v>
      </c>
      <c r="C39" s="170"/>
      <c r="D39" s="14"/>
      <c r="E39" s="14"/>
      <c r="F39" s="14"/>
      <c r="G39" s="14"/>
      <c r="H39" s="14">
        <f>H48+H50</f>
        <v>49.255200000000002</v>
      </c>
      <c r="I39" s="14"/>
      <c r="J39" s="17" t="str">
        <f>AHSP!E233</f>
        <v>m2</v>
      </c>
      <c r="K39" s="17" t="s">
        <v>15</v>
      </c>
      <c r="L39" s="17">
        <f>AHSP!I243</f>
        <v>71400</v>
      </c>
      <c r="M39" s="17" t="s">
        <v>15</v>
      </c>
      <c r="N39" s="20">
        <f>L39*H39</f>
        <v>3516821.2800000003</v>
      </c>
    </row>
    <row r="40" spans="1:14" ht="15.75" x14ac:dyDescent="0.25">
      <c r="A40" s="12">
        <v>3</v>
      </c>
      <c r="B40" s="153" t="s">
        <v>1332</v>
      </c>
      <c r="C40" s="170"/>
      <c r="D40" s="14"/>
      <c r="E40" s="14"/>
      <c r="F40" s="14"/>
      <c r="G40" s="14"/>
      <c r="H40" s="14"/>
      <c r="I40" s="14">
        <f>G42*F42*E42*D42+G43*F43*E43*D43+G44*F44*E44*D44+G45*F45*E45*D45+G46*F46*E46*D46+I47</f>
        <v>11.868900000000002</v>
      </c>
      <c r="J40" s="17" t="s">
        <v>20</v>
      </c>
      <c r="K40" s="17" t="s">
        <v>15</v>
      </c>
      <c r="L40" s="17">
        <f>AHSP!I255</f>
        <v>2765100</v>
      </c>
      <c r="M40" s="17" t="s">
        <v>15</v>
      </c>
      <c r="N40" s="20">
        <f t="shared" ref="N40:N41" si="2">L40*I40</f>
        <v>32818695.390000004</v>
      </c>
    </row>
    <row r="41" spans="1:14" ht="15.75" x14ac:dyDescent="0.25">
      <c r="A41" s="12">
        <v>4</v>
      </c>
      <c r="B41" s="153" t="s">
        <v>1333</v>
      </c>
      <c r="C41" s="170"/>
      <c r="D41" s="14"/>
      <c r="E41" s="14"/>
      <c r="F41" s="14"/>
      <c r="G41" s="14"/>
      <c r="H41" s="14"/>
      <c r="I41" s="14">
        <f>I48+I50</f>
        <v>6.3205740000000006</v>
      </c>
      <c r="J41" s="17" t="s">
        <v>20</v>
      </c>
      <c r="K41" s="17"/>
      <c r="L41" s="17">
        <f>AHSP!I267</f>
        <v>1561800</v>
      </c>
      <c r="M41" s="17" t="s">
        <v>15</v>
      </c>
      <c r="N41" s="20">
        <f t="shared" si="2"/>
        <v>9871472.4732000008</v>
      </c>
    </row>
    <row r="42" spans="1:14" ht="15.75" x14ac:dyDescent="0.25">
      <c r="A42" s="12">
        <v>4</v>
      </c>
      <c r="B42" s="153" t="s">
        <v>140</v>
      </c>
      <c r="C42" s="154"/>
      <c r="D42" s="18">
        <v>7</v>
      </c>
      <c r="E42" s="18">
        <v>0.2</v>
      </c>
      <c r="F42" s="18">
        <v>0.3</v>
      </c>
      <c r="G42" s="18">
        <v>4.05</v>
      </c>
      <c r="H42" s="18">
        <f>(F42*G42+E42*G42)*2*D42</f>
        <v>28.349999999999998</v>
      </c>
      <c r="I42" s="33">
        <f>G42*F42*E42*D42</f>
        <v>1.7010000000000001</v>
      </c>
      <c r="J42" s="17" t="s">
        <v>14</v>
      </c>
      <c r="K42" s="17" t="s">
        <v>15</v>
      </c>
      <c r="L42" s="17">
        <f>AHSP!I282</f>
        <v>113300</v>
      </c>
      <c r="M42" s="17" t="s">
        <v>15</v>
      </c>
      <c r="N42" s="20">
        <f>L42*H42</f>
        <v>3212054.9999999995</v>
      </c>
    </row>
    <row r="43" spans="1:14" ht="15.75" x14ac:dyDescent="0.25">
      <c r="A43" s="12">
        <v>5</v>
      </c>
      <c r="B43" s="153" t="s">
        <v>141</v>
      </c>
      <c r="C43" s="154"/>
      <c r="D43" s="18">
        <v>8</v>
      </c>
      <c r="E43" s="18">
        <v>0.2</v>
      </c>
      <c r="F43" s="18">
        <v>0.2</v>
      </c>
      <c r="G43" s="18">
        <v>4.05</v>
      </c>
      <c r="H43" s="18">
        <f>(F43*G43+E43*G43)*2*D43</f>
        <v>25.92</v>
      </c>
      <c r="I43" s="33"/>
      <c r="J43" s="17" t="s">
        <v>14</v>
      </c>
      <c r="K43" s="17" t="s">
        <v>15</v>
      </c>
      <c r="L43" s="17">
        <f>AHSP!I297</f>
        <v>113300</v>
      </c>
      <c r="M43" s="17" t="s">
        <v>15</v>
      </c>
      <c r="N43" s="20">
        <f>L43*H43</f>
        <v>2936736</v>
      </c>
    </row>
    <row r="44" spans="1:14" ht="15.75" x14ac:dyDescent="0.25">
      <c r="A44" s="12">
        <v>6</v>
      </c>
      <c r="B44" s="153" t="s">
        <v>142</v>
      </c>
      <c r="C44" s="154"/>
      <c r="D44" s="47">
        <v>1</v>
      </c>
      <c r="E44" s="47">
        <f>E23</f>
        <v>69.924000000000007</v>
      </c>
      <c r="F44" s="18">
        <v>0.1</v>
      </c>
      <c r="G44" s="18">
        <v>0.1</v>
      </c>
      <c r="H44" s="18">
        <f>(F44*G44+E44*G44)*2*D44</f>
        <v>14.004800000000001</v>
      </c>
      <c r="I44" s="18"/>
      <c r="J44" s="17" t="s">
        <v>14</v>
      </c>
      <c r="K44" s="17" t="s">
        <v>15</v>
      </c>
      <c r="L44" s="17">
        <f>AHSP!I312</f>
        <v>148100</v>
      </c>
      <c r="M44" s="17" t="s">
        <v>15</v>
      </c>
      <c r="N44" s="20">
        <f>L44*H44</f>
        <v>2074110.8800000001</v>
      </c>
    </row>
    <row r="45" spans="1:14" ht="15.75" x14ac:dyDescent="0.25">
      <c r="A45" s="12">
        <v>7</v>
      </c>
      <c r="B45" s="153" t="s">
        <v>143</v>
      </c>
      <c r="C45" s="154"/>
      <c r="D45" s="18">
        <v>1</v>
      </c>
      <c r="E45" s="18">
        <f>E23</f>
        <v>69.924000000000007</v>
      </c>
      <c r="F45" s="18">
        <v>0.2</v>
      </c>
      <c r="G45" s="18">
        <v>0.3</v>
      </c>
      <c r="H45" s="18">
        <f>(F45*E45)+(E45*G45)*2</f>
        <v>55.9392</v>
      </c>
      <c r="I45" s="18"/>
      <c r="J45" s="17" t="s">
        <v>14</v>
      </c>
      <c r="K45" s="17" t="s">
        <v>15</v>
      </c>
      <c r="L45" s="17">
        <f>AHSP!I327</f>
        <v>148100</v>
      </c>
      <c r="M45" s="17" t="s">
        <v>15</v>
      </c>
      <c r="N45" s="20">
        <f t="shared" ref="N45:N46" si="3">L45*H45</f>
        <v>8284595.5199999996</v>
      </c>
    </row>
    <row r="46" spans="1:14" ht="15.75" x14ac:dyDescent="0.25">
      <c r="A46" s="12">
        <v>8</v>
      </c>
      <c r="B46" s="153" t="s">
        <v>144</v>
      </c>
      <c r="C46" s="154"/>
      <c r="D46" s="18">
        <v>1</v>
      </c>
      <c r="E46" s="18">
        <f>E45</f>
        <v>69.924000000000007</v>
      </c>
      <c r="F46" s="18">
        <v>0.15</v>
      </c>
      <c r="G46" s="18">
        <v>0.2</v>
      </c>
      <c r="H46" s="18">
        <f>G46*E46*2*D46*F46</f>
        <v>4.1954400000000005</v>
      </c>
      <c r="I46" s="18"/>
      <c r="J46" s="17" t="s">
        <v>14</v>
      </c>
      <c r="K46" s="17" t="s">
        <v>15</v>
      </c>
      <c r="L46" s="17">
        <f>AHSP!I342</f>
        <v>86900</v>
      </c>
      <c r="M46" s="17" t="s">
        <v>15</v>
      </c>
      <c r="N46" s="20">
        <f t="shared" si="3"/>
        <v>364583.73600000003</v>
      </c>
    </row>
    <row r="47" spans="1:14" ht="15.75" x14ac:dyDescent="0.25">
      <c r="A47" s="12">
        <v>9</v>
      </c>
      <c r="B47" s="153" t="s">
        <v>145</v>
      </c>
      <c r="C47" s="154"/>
      <c r="D47" s="18">
        <f>D42+D43</f>
        <v>15</v>
      </c>
      <c r="E47" s="18">
        <v>1</v>
      </c>
      <c r="F47" s="18">
        <v>1</v>
      </c>
      <c r="G47" s="18">
        <v>0.12</v>
      </c>
      <c r="H47" s="18"/>
      <c r="I47" s="18">
        <f>G47*F47*E47*D47+((((F47*E47)+(E42*F42))*0.15)*0.5)</f>
        <v>1.8794999999999997</v>
      </c>
      <c r="J47" s="17" t="s">
        <v>20</v>
      </c>
      <c r="K47" s="17" t="s">
        <v>15</v>
      </c>
      <c r="L47" s="17">
        <f>L40</f>
        <v>2765100</v>
      </c>
      <c r="M47" s="17" t="s">
        <v>15</v>
      </c>
      <c r="N47" s="20">
        <f t="shared" si="1"/>
        <v>5197005.4499999993</v>
      </c>
    </row>
    <row r="48" spans="1:14" ht="15.75" x14ac:dyDescent="0.25">
      <c r="A48" s="12">
        <v>10</v>
      </c>
      <c r="B48" s="153" t="s">
        <v>1368</v>
      </c>
      <c r="C48" s="154"/>
      <c r="D48" s="18">
        <v>1</v>
      </c>
      <c r="E48" s="18">
        <v>1</v>
      </c>
      <c r="F48" s="18">
        <v>1</v>
      </c>
      <c r="G48" s="18">
        <v>0.12</v>
      </c>
      <c r="H48" s="18">
        <f>H56-(E45*F45)</f>
        <v>43.090200000000003</v>
      </c>
      <c r="I48" s="18">
        <f>H48*G48</f>
        <v>5.1708240000000005</v>
      </c>
      <c r="J48" s="17" t="s">
        <v>20</v>
      </c>
      <c r="K48" s="17" t="s">
        <v>15</v>
      </c>
      <c r="L48" s="17">
        <f>L38+L41+AHSP!I357*6</f>
        <v>3574800</v>
      </c>
      <c r="M48" s="17" t="s">
        <v>15</v>
      </c>
      <c r="N48" s="20">
        <f t="shared" si="1"/>
        <v>18484661.635200001</v>
      </c>
    </row>
    <row r="49" spans="1:14" ht="15.75" x14ac:dyDescent="0.25">
      <c r="A49" s="16"/>
      <c r="B49" s="162" t="s">
        <v>54</v>
      </c>
      <c r="C49" s="163"/>
      <c r="D49" s="18"/>
      <c r="E49" s="18"/>
      <c r="F49" s="18"/>
      <c r="G49" s="18"/>
      <c r="H49" s="18"/>
      <c r="I49" s="18"/>
      <c r="J49" s="17"/>
      <c r="K49" s="17"/>
      <c r="L49" s="17"/>
      <c r="M49" s="17"/>
      <c r="N49" s="20"/>
    </row>
    <row r="50" spans="1:14" ht="15.75" x14ac:dyDescent="0.25">
      <c r="A50" s="16">
        <v>11</v>
      </c>
      <c r="B50" s="153" t="s">
        <v>1367</v>
      </c>
      <c r="C50" s="154"/>
      <c r="D50" s="18">
        <v>20</v>
      </c>
      <c r="E50" s="18">
        <v>6.85</v>
      </c>
      <c r="F50" s="18">
        <f>(2.1-0.3)/2</f>
        <v>0.9</v>
      </c>
      <c r="G50" s="18">
        <v>0.15</v>
      </c>
      <c r="H50" s="18">
        <f>F50*E50</f>
        <v>6.165</v>
      </c>
      <c r="I50" s="18">
        <f>G50*F50*E50+D50*G50*G50*0.5</f>
        <v>1.14975</v>
      </c>
      <c r="J50" s="17" t="s">
        <v>20</v>
      </c>
      <c r="K50" s="17" t="s">
        <v>15</v>
      </c>
      <c r="L50" s="17">
        <f>AHSP!I373*6+L38+L41</f>
        <v>3312000</v>
      </c>
      <c r="M50" s="17" t="s">
        <v>15</v>
      </c>
      <c r="N50" s="20">
        <f t="shared" si="1"/>
        <v>3807972</v>
      </c>
    </row>
    <row r="51" spans="1:14" ht="15.75" x14ac:dyDescent="0.25">
      <c r="A51" s="12"/>
      <c r="B51" s="162" t="s">
        <v>55</v>
      </c>
      <c r="C51" s="163"/>
      <c r="D51" s="18"/>
      <c r="E51" s="18"/>
      <c r="F51" s="18"/>
      <c r="G51" s="18"/>
      <c r="H51" s="18"/>
      <c r="I51" s="18"/>
      <c r="J51" s="17"/>
      <c r="K51" s="17"/>
      <c r="L51" s="17"/>
      <c r="M51" s="17"/>
      <c r="N51" s="20"/>
    </row>
    <row r="52" spans="1:14" ht="15.75" x14ac:dyDescent="0.25">
      <c r="A52" s="16">
        <v>12</v>
      </c>
      <c r="B52" s="153" t="s">
        <v>56</v>
      </c>
      <c r="C52" s="154"/>
      <c r="D52" s="18"/>
      <c r="E52" s="18"/>
      <c r="F52" s="18"/>
      <c r="G52" s="18"/>
      <c r="H52" s="18">
        <f>H48+H46+H45+H44+H43+H42+H47+H39+H50</f>
        <v>226.91983999999999</v>
      </c>
      <c r="I52" s="18"/>
      <c r="J52" s="17" t="s">
        <v>14</v>
      </c>
      <c r="K52" s="17" t="s">
        <v>15</v>
      </c>
      <c r="L52" s="17">
        <f>AHSP!I382</f>
        <v>3700</v>
      </c>
      <c r="M52" s="17" t="s">
        <v>15</v>
      </c>
      <c r="N52" s="20">
        <f>L52*H52</f>
        <v>839603.40799999994</v>
      </c>
    </row>
    <row r="53" spans="1:14" ht="15.75" x14ac:dyDescent="0.25">
      <c r="A53" s="41"/>
      <c r="B53" s="65"/>
      <c r="C53" s="157"/>
      <c r="D53" s="28"/>
      <c r="E53" s="28"/>
      <c r="F53" s="28"/>
      <c r="G53" s="28"/>
      <c r="H53" s="28"/>
      <c r="I53" s="28"/>
      <c r="J53" s="27"/>
      <c r="K53" s="29" t="s">
        <v>176</v>
      </c>
      <c r="L53" s="29"/>
      <c r="M53" s="29" t="s">
        <v>15</v>
      </c>
      <c r="N53" s="30">
        <f>SUM(N38:N52)</f>
        <v>109747247.538</v>
      </c>
    </row>
    <row r="54" spans="1:14" ht="15.75" x14ac:dyDescent="0.25">
      <c r="A54" s="41"/>
      <c r="B54" s="160"/>
      <c r="C54" s="161"/>
      <c r="D54" s="44"/>
      <c r="E54" s="44"/>
      <c r="F54" s="44"/>
      <c r="G54" s="44"/>
      <c r="H54" s="44"/>
      <c r="I54" s="44"/>
      <c r="J54" s="43"/>
      <c r="K54" s="43"/>
      <c r="L54" s="43"/>
      <c r="M54" s="43"/>
      <c r="N54" s="45"/>
    </row>
    <row r="55" spans="1:14" ht="15.75" x14ac:dyDescent="0.25">
      <c r="A55" s="77" t="s">
        <v>31</v>
      </c>
      <c r="B55" s="151" t="s">
        <v>57</v>
      </c>
      <c r="C55" s="152"/>
      <c r="D55" s="14"/>
      <c r="E55" s="14"/>
      <c r="F55" s="14"/>
      <c r="G55" s="14"/>
      <c r="H55" s="14"/>
      <c r="I55" s="14"/>
      <c r="J55" s="13"/>
      <c r="K55" s="13"/>
      <c r="L55" s="13"/>
      <c r="M55" s="13"/>
      <c r="N55" s="15"/>
    </row>
    <row r="56" spans="1:14" ht="15.75" x14ac:dyDescent="0.25">
      <c r="A56" s="16">
        <v>1</v>
      </c>
      <c r="B56" s="153" t="s">
        <v>58</v>
      </c>
      <c r="C56" s="154"/>
      <c r="D56" s="18"/>
      <c r="E56" s="18"/>
      <c r="F56" s="18"/>
      <c r="G56" s="38">
        <v>0.1</v>
      </c>
      <c r="H56" s="35">
        <v>57.075000000000003</v>
      </c>
      <c r="I56" s="36">
        <f>73.7758*G56</f>
        <v>7.3775800000000009</v>
      </c>
      <c r="J56" s="17" t="s">
        <v>20</v>
      </c>
      <c r="K56" s="17" t="s">
        <v>15</v>
      </c>
      <c r="L56" s="17">
        <f>AHSP!I74</f>
        <v>348100</v>
      </c>
      <c r="M56" s="17" t="s">
        <v>15</v>
      </c>
      <c r="N56" s="20">
        <f>L56*I56</f>
        <v>2568135.5980000002</v>
      </c>
    </row>
    <row r="57" spans="1:14" ht="15.75" x14ac:dyDescent="0.25">
      <c r="A57" s="16">
        <v>2</v>
      </c>
      <c r="B57" s="153" t="s">
        <v>59</v>
      </c>
      <c r="C57" s="154"/>
      <c r="D57" s="18"/>
      <c r="E57" s="18"/>
      <c r="F57" s="18"/>
      <c r="G57" s="18"/>
      <c r="H57" s="14">
        <v>64.273300000000006</v>
      </c>
      <c r="I57" s="18"/>
      <c r="J57" s="17" t="s">
        <v>14</v>
      </c>
      <c r="K57" s="17" t="s">
        <v>15</v>
      </c>
      <c r="L57" s="17">
        <f>AHSP!I447</f>
        <v>329300</v>
      </c>
      <c r="M57" s="17" t="s">
        <v>15</v>
      </c>
      <c r="N57" s="20">
        <f>H57*L57</f>
        <v>21165197.690000001</v>
      </c>
    </row>
    <row r="58" spans="1:14" ht="15.75" x14ac:dyDescent="0.25">
      <c r="A58" s="16">
        <v>3</v>
      </c>
      <c r="B58" s="153" t="s">
        <v>60</v>
      </c>
      <c r="C58" s="154"/>
      <c r="D58" s="18"/>
      <c r="E58" s="18">
        <f>37.31+13.2*2</f>
        <v>63.71</v>
      </c>
      <c r="F58" s="18"/>
      <c r="G58" s="18"/>
      <c r="H58" s="18"/>
      <c r="I58" s="18"/>
      <c r="J58" s="17" t="s">
        <v>16</v>
      </c>
      <c r="K58" s="17" t="s">
        <v>15</v>
      </c>
      <c r="L58" s="17">
        <f>AHSP!I461</f>
        <v>111900</v>
      </c>
      <c r="M58" s="17" t="s">
        <v>15</v>
      </c>
      <c r="N58" s="20">
        <f>L58*E58</f>
        <v>7129149</v>
      </c>
    </row>
    <row r="59" spans="1:14" ht="15.75" x14ac:dyDescent="0.25">
      <c r="A59" s="16"/>
      <c r="B59" s="162" t="s">
        <v>61</v>
      </c>
      <c r="C59" s="163"/>
      <c r="D59" s="18"/>
      <c r="E59" s="18"/>
      <c r="F59" s="18"/>
      <c r="G59" s="18"/>
      <c r="H59" s="18"/>
      <c r="I59" s="18"/>
      <c r="J59" s="17"/>
      <c r="K59" s="17"/>
      <c r="L59" s="17"/>
      <c r="M59" s="17"/>
      <c r="N59" s="20"/>
    </row>
    <row r="60" spans="1:14" ht="15.75" x14ac:dyDescent="0.25">
      <c r="A60" s="16">
        <v>4</v>
      </c>
      <c r="B60" s="153" t="s">
        <v>62</v>
      </c>
      <c r="C60" s="154"/>
      <c r="D60" s="18"/>
      <c r="E60" s="18"/>
      <c r="F60" s="18"/>
      <c r="G60" s="18"/>
      <c r="H60" s="18">
        <v>2.3620000000000001</v>
      </c>
      <c r="I60" s="18"/>
      <c r="J60" s="17" t="s">
        <v>14</v>
      </c>
      <c r="K60" s="17" t="s">
        <v>15</v>
      </c>
      <c r="L60" s="17">
        <f>AHSP!I475</f>
        <v>279200</v>
      </c>
      <c r="M60" s="17" t="s">
        <v>15</v>
      </c>
      <c r="N60" s="20">
        <f t="shared" ref="N60:N64" si="4">L60*H60</f>
        <v>659470.4</v>
      </c>
    </row>
    <row r="61" spans="1:14" ht="15.75" x14ac:dyDescent="0.25">
      <c r="A61" s="16">
        <v>5</v>
      </c>
      <c r="B61" s="153" t="s">
        <v>1334</v>
      </c>
      <c r="C61" s="154"/>
      <c r="D61" s="18"/>
      <c r="E61" s="18"/>
      <c r="F61" s="18"/>
      <c r="G61" s="18"/>
      <c r="H61" s="18">
        <f>H25*90%</f>
        <v>10.15875</v>
      </c>
      <c r="I61" s="18"/>
      <c r="J61" s="17" t="s">
        <v>14</v>
      </c>
      <c r="K61" s="17" t="s">
        <v>15</v>
      </c>
      <c r="L61" s="17">
        <f>AHSP!I475*115%</f>
        <v>321080</v>
      </c>
      <c r="M61" s="17" t="s">
        <v>15</v>
      </c>
      <c r="N61" s="20">
        <f t="shared" si="4"/>
        <v>3261771.4499999997</v>
      </c>
    </row>
    <row r="62" spans="1:14" ht="15.75" x14ac:dyDescent="0.25">
      <c r="A62" s="16">
        <v>6</v>
      </c>
      <c r="B62" s="153" t="s">
        <v>60</v>
      </c>
      <c r="C62" s="154"/>
      <c r="D62" s="18"/>
      <c r="E62" s="18">
        <f>E25</f>
        <v>6.45</v>
      </c>
      <c r="F62" s="18"/>
      <c r="G62" s="18"/>
      <c r="H62" s="18"/>
      <c r="I62" s="18"/>
      <c r="J62" s="17" t="s">
        <v>16</v>
      </c>
      <c r="K62" s="17" t="s">
        <v>15</v>
      </c>
      <c r="L62" s="17">
        <f>AHSP!I489</f>
        <v>103100</v>
      </c>
      <c r="M62" s="17" t="s">
        <v>15</v>
      </c>
      <c r="N62" s="20">
        <f>L62*E62</f>
        <v>664995</v>
      </c>
    </row>
    <row r="63" spans="1:14" ht="15.75" x14ac:dyDescent="0.25">
      <c r="A63" s="16"/>
      <c r="B63" s="162" t="s">
        <v>63</v>
      </c>
      <c r="C63" s="163"/>
      <c r="D63" s="18"/>
      <c r="E63" s="18"/>
      <c r="F63" s="18"/>
      <c r="G63" s="18"/>
      <c r="H63" s="18"/>
      <c r="I63" s="18"/>
      <c r="J63" s="17"/>
      <c r="K63" s="17"/>
      <c r="L63" s="17"/>
      <c r="M63" s="17"/>
      <c r="N63" s="20"/>
    </row>
    <row r="64" spans="1:14" ht="15.75" x14ac:dyDescent="0.25">
      <c r="A64" s="16">
        <v>7</v>
      </c>
      <c r="B64" s="153" t="s">
        <v>59</v>
      </c>
      <c r="C64" s="154"/>
      <c r="D64" s="18"/>
      <c r="E64" s="18"/>
      <c r="F64" s="18"/>
      <c r="G64" s="18"/>
      <c r="H64" s="18">
        <f>H50</f>
        <v>6.165</v>
      </c>
      <c r="I64" s="18"/>
      <c r="J64" s="17" t="s">
        <v>14</v>
      </c>
      <c r="K64" s="17" t="s">
        <v>15</v>
      </c>
      <c r="L64" s="17">
        <f>AHSP!I447</f>
        <v>329300</v>
      </c>
      <c r="M64" s="17" t="s">
        <v>15</v>
      </c>
      <c r="N64" s="20">
        <f t="shared" si="4"/>
        <v>2030134.5</v>
      </c>
    </row>
    <row r="65" spans="1:14" ht="15.75" x14ac:dyDescent="0.25">
      <c r="A65" s="16">
        <v>8</v>
      </c>
      <c r="B65" s="153" t="s">
        <v>60</v>
      </c>
      <c r="C65" s="154"/>
      <c r="D65" s="18"/>
      <c r="E65" s="18">
        <f>0.3*20+0.15*20+1.8*2</f>
        <v>12.6</v>
      </c>
      <c r="F65" s="18"/>
      <c r="G65" s="18"/>
      <c r="H65" s="18"/>
      <c r="I65" s="18"/>
      <c r="J65" s="17" t="s">
        <v>16</v>
      </c>
      <c r="K65" s="17" t="s">
        <v>15</v>
      </c>
      <c r="L65" s="17">
        <f>L58</f>
        <v>111900</v>
      </c>
      <c r="M65" s="17" t="s">
        <v>15</v>
      </c>
      <c r="N65" s="20">
        <f>L65*E65</f>
        <v>1409940</v>
      </c>
    </row>
    <row r="66" spans="1:14" ht="15.75" x14ac:dyDescent="0.25">
      <c r="A66" s="21"/>
      <c r="B66" s="155"/>
      <c r="C66" s="156"/>
      <c r="D66" s="24"/>
      <c r="E66" s="24"/>
      <c r="F66" s="24"/>
      <c r="G66" s="24"/>
      <c r="H66" s="24"/>
      <c r="I66" s="24"/>
      <c r="J66" s="22"/>
      <c r="K66" s="54" t="s">
        <v>34</v>
      </c>
      <c r="L66" s="54"/>
      <c r="M66" s="54" t="s">
        <v>15</v>
      </c>
      <c r="N66" s="55">
        <f>SUM(N56:N65)</f>
        <v>38888793.638000004</v>
      </c>
    </row>
    <row r="67" spans="1:14" ht="15.75" x14ac:dyDescent="0.25">
      <c r="A67" s="12"/>
      <c r="B67" s="171"/>
      <c r="C67" s="170"/>
      <c r="D67" s="14"/>
      <c r="E67" s="14"/>
      <c r="F67" s="14"/>
      <c r="G67" s="14"/>
      <c r="H67" s="14"/>
      <c r="I67" s="14"/>
      <c r="J67" s="13"/>
      <c r="K67" s="13"/>
      <c r="L67" s="13"/>
      <c r="M67" s="13"/>
      <c r="N67" s="15"/>
    </row>
    <row r="68" spans="1:14" ht="15.75" x14ac:dyDescent="0.25">
      <c r="A68" s="78" t="s">
        <v>35</v>
      </c>
      <c r="B68" s="162" t="s">
        <v>64</v>
      </c>
      <c r="C68" s="163"/>
      <c r="D68" s="18"/>
      <c r="E68" s="18"/>
      <c r="F68" s="18"/>
      <c r="G68" s="18"/>
      <c r="H68" s="18"/>
      <c r="I68" s="18"/>
      <c r="J68" s="17"/>
      <c r="K68" s="17"/>
      <c r="L68" s="17"/>
      <c r="M68" s="17"/>
      <c r="N68" s="20"/>
    </row>
    <row r="69" spans="1:14" ht="15.75" x14ac:dyDescent="0.25">
      <c r="A69" s="16">
        <v>1</v>
      </c>
      <c r="B69" s="172" t="s">
        <v>65</v>
      </c>
      <c r="C69" s="173"/>
      <c r="D69" s="33">
        <v>1</v>
      </c>
      <c r="E69" s="33"/>
      <c r="F69" s="33"/>
      <c r="G69" s="33"/>
      <c r="H69" s="33"/>
      <c r="I69" s="33"/>
      <c r="J69" s="56" t="s">
        <v>46</v>
      </c>
      <c r="K69" s="56" t="s">
        <v>15</v>
      </c>
      <c r="L69" s="56">
        <f>AHSP!I511</f>
        <v>3353100</v>
      </c>
      <c r="M69" s="56" t="s">
        <v>15</v>
      </c>
      <c r="N69" s="57">
        <f>L69*D69</f>
        <v>3353100</v>
      </c>
    </row>
    <row r="70" spans="1:14" ht="15.75" x14ac:dyDescent="0.25">
      <c r="A70" s="16">
        <v>2</v>
      </c>
      <c r="B70" s="172" t="s">
        <v>66</v>
      </c>
      <c r="C70" s="173"/>
      <c r="D70" s="33">
        <v>1</v>
      </c>
      <c r="E70" s="33"/>
      <c r="F70" s="33"/>
      <c r="G70" s="33"/>
      <c r="H70" s="33"/>
      <c r="I70" s="33"/>
      <c r="J70" s="56" t="s">
        <v>46</v>
      </c>
      <c r="K70" s="56" t="s">
        <v>15</v>
      </c>
      <c r="L70" s="56">
        <f>AHSP!I529</f>
        <v>3126000</v>
      </c>
      <c r="M70" s="56" t="s">
        <v>15</v>
      </c>
      <c r="N70" s="57">
        <f t="shared" ref="N70:N79" si="5">L70*D70</f>
        <v>3126000</v>
      </c>
    </row>
    <row r="71" spans="1:14" ht="15.75" x14ac:dyDescent="0.25">
      <c r="A71" s="16">
        <v>3</v>
      </c>
      <c r="B71" s="172" t="s">
        <v>67</v>
      </c>
      <c r="C71" s="173"/>
      <c r="D71" s="33">
        <v>1</v>
      </c>
      <c r="E71" s="33"/>
      <c r="F71" s="33"/>
      <c r="G71" s="33"/>
      <c r="H71" s="33"/>
      <c r="I71" s="33"/>
      <c r="J71" s="56" t="s">
        <v>46</v>
      </c>
      <c r="K71" s="56" t="s">
        <v>15</v>
      </c>
      <c r="L71" s="56">
        <f>AHSP!I543</f>
        <v>2011900</v>
      </c>
      <c r="M71" s="56" t="s">
        <v>15</v>
      </c>
      <c r="N71" s="57">
        <f t="shared" si="5"/>
        <v>2011900</v>
      </c>
    </row>
    <row r="72" spans="1:14" ht="15.75" x14ac:dyDescent="0.25">
      <c r="A72" s="16">
        <v>4</v>
      </c>
      <c r="B72" s="172" t="s">
        <v>68</v>
      </c>
      <c r="C72" s="173"/>
      <c r="D72" s="33">
        <v>1</v>
      </c>
      <c r="E72" s="33"/>
      <c r="F72" s="33"/>
      <c r="G72" s="33"/>
      <c r="H72" s="33"/>
      <c r="I72" s="33"/>
      <c r="J72" s="56" t="s">
        <v>46</v>
      </c>
      <c r="K72" s="56" t="s">
        <v>15</v>
      </c>
      <c r="L72" s="56">
        <f>AHSP!I561</f>
        <v>2535600</v>
      </c>
      <c r="M72" s="56" t="s">
        <v>15</v>
      </c>
      <c r="N72" s="57">
        <f t="shared" si="5"/>
        <v>2535600</v>
      </c>
    </row>
    <row r="73" spans="1:14" ht="15.75" x14ac:dyDescent="0.25">
      <c r="A73" s="16">
        <v>5</v>
      </c>
      <c r="B73" s="172" t="s">
        <v>69</v>
      </c>
      <c r="C73" s="173"/>
      <c r="D73" s="33">
        <v>1</v>
      </c>
      <c r="E73" s="33"/>
      <c r="F73" s="33"/>
      <c r="G73" s="33"/>
      <c r="H73" s="33"/>
      <c r="I73" s="33"/>
      <c r="J73" s="56" t="s">
        <v>46</v>
      </c>
      <c r="K73" s="56" t="s">
        <v>15</v>
      </c>
      <c r="L73" s="56">
        <f>AHSP!I577</f>
        <v>2570500</v>
      </c>
      <c r="M73" s="56" t="s">
        <v>15</v>
      </c>
      <c r="N73" s="57">
        <f t="shared" si="5"/>
        <v>2570500</v>
      </c>
    </row>
    <row r="74" spans="1:14" ht="15.75" x14ac:dyDescent="0.25">
      <c r="A74" s="16">
        <v>6</v>
      </c>
      <c r="B74" s="172" t="s">
        <v>70</v>
      </c>
      <c r="C74" s="173"/>
      <c r="D74" s="33">
        <v>1</v>
      </c>
      <c r="E74" s="33"/>
      <c r="F74" s="33"/>
      <c r="G74" s="33"/>
      <c r="H74" s="33"/>
      <c r="I74" s="33"/>
      <c r="J74" s="56" t="s">
        <v>46</v>
      </c>
      <c r="K74" s="56" t="s">
        <v>15</v>
      </c>
      <c r="L74" s="56">
        <f>AHSP!I594</f>
        <v>3036600</v>
      </c>
      <c r="M74" s="56" t="s">
        <v>15</v>
      </c>
      <c r="N74" s="57">
        <f t="shared" si="5"/>
        <v>3036600</v>
      </c>
    </row>
    <row r="75" spans="1:14" ht="15.75" x14ac:dyDescent="0.25">
      <c r="A75" s="16">
        <v>7</v>
      </c>
      <c r="B75" s="172" t="s">
        <v>71</v>
      </c>
      <c r="C75" s="173"/>
      <c r="D75" s="33">
        <v>1</v>
      </c>
      <c r="E75" s="33"/>
      <c r="F75" s="33"/>
      <c r="G75" s="33"/>
      <c r="H75" s="33"/>
      <c r="I75" s="33"/>
      <c r="J75" s="56" t="s">
        <v>46</v>
      </c>
      <c r="K75" s="56" t="s">
        <v>15</v>
      </c>
      <c r="L75" s="56">
        <f>AHSP!I677</f>
        <v>4666200</v>
      </c>
      <c r="M75" s="56" t="s">
        <v>15</v>
      </c>
      <c r="N75" s="57">
        <f t="shared" si="5"/>
        <v>4666200</v>
      </c>
    </row>
    <row r="76" spans="1:14" ht="15.75" x14ac:dyDescent="0.25">
      <c r="A76" s="16">
        <v>8</v>
      </c>
      <c r="B76" s="153" t="s">
        <v>72</v>
      </c>
      <c r="C76" s="154"/>
      <c r="D76" s="33">
        <v>1</v>
      </c>
      <c r="E76" s="18"/>
      <c r="F76" s="18"/>
      <c r="G76" s="18"/>
      <c r="H76" s="18"/>
      <c r="I76" s="18"/>
      <c r="J76" s="56" t="s">
        <v>46</v>
      </c>
      <c r="K76" s="17" t="s">
        <v>15</v>
      </c>
      <c r="L76" s="17">
        <f>AHSP!I694</f>
        <v>842200</v>
      </c>
      <c r="M76" s="17" t="s">
        <v>15</v>
      </c>
      <c r="N76" s="57">
        <f t="shared" si="5"/>
        <v>842200</v>
      </c>
    </row>
    <row r="77" spans="1:14" ht="15.75" x14ac:dyDescent="0.25">
      <c r="A77" s="16">
        <v>9</v>
      </c>
      <c r="B77" s="153" t="s">
        <v>73</v>
      </c>
      <c r="C77" s="154"/>
      <c r="D77" s="33">
        <v>1</v>
      </c>
      <c r="E77" s="18"/>
      <c r="F77" s="18"/>
      <c r="G77" s="18"/>
      <c r="H77" s="18"/>
      <c r="I77" s="18"/>
      <c r="J77" s="56" t="s">
        <v>46</v>
      </c>
      <c r="K77" s="17" t="s">
        <v>15</v>
      </c>
      <c r="L77" s="17">
        <f>AHSP!I711</f>
        <v>814500</v>
      </c>
      <c r="M77" s="17" t="s">
        <v>15</v>
      </c>
      <c r="N77" s="57">
        <f t="shared" si="5"/>
        <v>814500</v>
      </c>
    </row>
    <row r="78" spans="1:14" ht="15.75" x14ac:dyDescent="0.25">
      <c r="A78" s="16">
        <v>10</v>
      </c>
      <c r="B78" s="158" t="s">
        <v>74</v>
      </c>
      <c r="C78" s="159"/>
      <c r="D78" s="33">
        <v>1</v>
      </c>
      <c r="E78" s="38"/>
      <c r="F78" s="38"/>
      <c r="G78" s="38"/>
      <c r="H78" s="38"/>
      <c r="I78" s="38"/>
      <c r="J78" s="56" t="s">
        <v>46</v>
      </c>
      <c r="K78" s="17" t="s">
        <v>15</v>
      </c>
      <c r="L78" s="17">
        <f>AHSP!I727</f>
        <v>3283500</v>
      </c>
      <c r="M78" s="17" t="s">
        <v>15</v>
      </c>
      <c r="N78" s="57">
        <f t="shared" si="5"/>
        <v>3283500</v>
      </c>
    </row>
    <row r="79" spans="1:14" ht="15.75" x14ac:dyDescent="0.25">
      <c r="A79" s="16">
        <v>11</v>
      </c>
      <c r="B79" s="158" t="s">
        <v>75</v>
      </c>
      <c r="C79" s="159"/>
      <c r="D79" s="33">
        <v>1</v>
      </c>
      <c r="E79" s="38"/>
      <c r="F79" s="38"/>
      <c r="G79" s="38"/>
      <c r="H79" s="38"/>
      <c r="I79" s="38"/>
      <c r="J79" s="56" t="s">
        <v>46</v>
      </c>
      <c r="K79" s="17" t="s">
        <v>15</v>
      </c>
      <c r="L79" s="17">
        <f>AHSP!I738</f>
        <v>559100</v>
      </c>
      <c r="M79" s="17" t="s">
        <v>15</v>
      </c>
      <c r="N79" s="57">
        <f t="shared" si="5"/>
        <v>559100</v>
      </c>
    </row>
    <row r="80" spans="1:14" ht="15.75" x14ac:dyDescent="0.25">
      <c r="A80" s="21"/>
      <c r="B80" s="155"/>
      <c r="C80" s="156"/>
      <c r="D80" s="24"/>
      <c r="E80" s="24"/>
      <c r="F80" s="24"/>
      <c r="G80" s="24"/>
      <c r="H80" s="24"/>
      <c r="I80" s="24"/>
      <c r="J80" s="22"/>
      <c r="K80" s="54" t="s">
        <v>177</v>
      </c>
      <c r="L80" s="54"/>
      <c r="M80" s="54" t="s">
        <v>15</v>
      </c>
      <c r="N80" s="55">
        <f>SUM(N69:N79)</f>
        <v>26799200</v>
      </c>
    </row>
    <row r="81" spans="1:14" ht="15.75" x14ac:dyDescent="0.25">
      <c r="A81" s="12"/>
      <c r="B81" s="171"/>
      <c r="C81" s="170"/>
      <c r="D81" s="14"/>
      <c r="E81" s="14"/>
      <c r="F81" s="14"/>
      <c r="G81" s="14"/>
      <c r="H81" s="14"/>
      <c r="I81" s="14"/>
      <c r="J81" s="13"/>
      <c r="K81" s="13"/>
      <c r="L81" s="13"/>
      <c r="M81" s="13"/>
      <c r="N81" s="15"/>
    </row>
    <row r="82" spans="1:14" ht="15.75" x14ac:dyDescent="0.25">
      <c r="A82" s="78" t="s">
        <v>37</v>
      </c>
      <c r="B82" s="162" t="s">
        <v>40</v>
      </c>
      <c r="C82" s="152"/>
      <c r="D82" s="14"/>
      <c r="E82" s="14"/>
      <c r="F82" s="14"/>
      <c r="G82" s="14"/>
      <c r="H82" s="14"/>
      <c r="I82" s="14"/>
      <c r="J82" s="13"/>
      <c r="K82" s="13"/>
      <c r="L82" s="13"/>
      <c r="M82" s="13"/>
      <c r="N82" s="15"/>
    </row>
    <row r="83" spans="1:14" ht="15.75" x14ac:dyDescent="0.25">
      <c r="A83" s="12">
        <v>1</v>
      </c>
      <c r="B83" s="171" t="s">
        <v>146</v>
      </c>
      <c r="C83" s="170"/>
      <c r="D83" s="14"/>
      <c r="E83" s="14"/>
      <c r="F83" s="14"/>
      <c r="G83" s="14"/>
      <c r="H83" s="14">
        <v>53.997500000000002</v>
      </c>
      <c r="I83" s="14"/>
      <c r="J83" s="13" t="s">
        <v>14</v>
      </c>
      <c r="K83" s="56" t="s">
        <v>15</v>
      </c>
      <c r="L83" s="13">
        <f>AHSP!I758</f>
        <v>42700</v>
      </c>
      <c r="M83" s="56" t="s">
        <v>15</v>
      </c>
      <c r="N83" s="15">
        <f>L83*H83</f>
        <v>2305693.25</v>
      </c>
    </row>
    <row r="84" spans="1:14" ht="15.75" x14ac:dyDescent="0.25">
      <c r="A84" s="12">
        <v>2</v>
      </c>
      <c r="B84" s="171" t="s">
        <v>147</v>
      </c>
      <c r="C84" s="170"/>
      <c r="D84" s="14"/>
      <c r="E84" s="14"/>
      <c r="F84" s="14"/>
      <c r="G84" s="14"/>
      <c r="H84" s="14">
        <f>H83</f>
        <v>53.997500000000002</v>
      </c>
      <c r="I84" s="14"/>
      <c r="J84" s="13" t="s">
        <v>14</v>
      </c>
      <c r="K84" s="56" t="s">
        <v>15</v>
      </c>
      <c r="L84" s="13">
        <f>AHSP!I770</f>
        <v>42900</v>
      </c>
      <c r="M84" s="56" t="s">
        <v>15</v>
      </c>
      <c r="N84" s="15">
        <f t="shared" ref="N84:N85" si="6">L84*H84</f>
        <v>2316492.75</v>
      </c>
    </row>
    <row r="85" spans="1:14" ht="15.75" x14ac:dyDescent="0.25">
      <c r="A85" s="12">
        <v>3</v>
      </c>
      <c r="B85" s="171" t="s">
        <v>148</v>
      </c>
      <c r="C85" s="170"/>
      <c r="D85" s="14"/>
      <c r="E85" s="14"/>
      <c r="F85" s="14"/>
      <c r="G85" s="14"/>
      <c r="H85" s="14">
        <f>1.9*0.9</f>
        <v>1.71</v>
      </c>
      <c r="I85" s="14"/>
      <c r="J85" s="13" t="s">
        <v>14</v>
      </c>
      <c r="K85" s="56" t="s">
        <v>15</v>
      </c>
      <c r="L85" s="13">
        <f>AHSP!I782</f>
        <v>42900</v>
      </c>
      <c r="M85" s="56" t="s">
        <v>15</v>
      </c>
      <c r="N85" s="15">
        <f t="shared" si="6"/>
        <v>73359</v>
      </c>
    </row>
    <row r="86" spans="1:14" ht="15.75" x14ac:dyDescent="0.25">
      <c r="A86" s="21"/>
      <c r="B86" s="155"/>
      <c r="C86" s="156"/>
      <c r="D86" s="24"/>
      <c r="E86" s="24"/>
      <c r="F86" s="24"/>
      <c r="G86" s="24"/>
      <c r="H86" s="24"/>
      <c r="I86" s="24"/>
      <c r="J86" s="22"/>
      <c r="K86" s="54" t="s">
        <v>178</v>
      </c>
      <c r="L86" s="54"/>
      <c r="M86" s="54" t="s">
        <v>15</v>
      </c>
      <c r="N86" s="55">
        <f>SUM(N82:N85)</f>
        <v>4695545</v>
      </c>
    </row>
    <row r="87" spans="1:14" ht="15.75" x14ac:dyDescent="0.25">
      <c r="A87" s="12"/>
      <c r="B87" s="171"/>
      <c r="C87" s="170"/>
      <c r="D87" s="14"/>
      <c r="E87" s="14"/>
      <c r="F87" s="14"/>
      <c r="G87" s="14"/>
      <c r="H87" s="14"/>
      <c r="I87" s="14"/>
      <c r="J87" s="13"/>
      <c r="K87" s="13"/>
      <c r="L87" s="13"/>
      <c r="M87" s="13"/>
      <c r="N87" s="15"/>
    </row>
    <row r="88" spans="1:14" ht="15.75" x14ac:dyDescent="0.25">
      <c r="A88" s="78" t="s">
        <v>39</v>
      </c>
      <c r="B88" s="162" t="s">
        <v>76</v>
      </c>
      <c r="C88" s="152"/>
      <c r="D88" s="14"/>
      <c r="E88" s="14"/>
      <c r="F88" s="14"/>
      <c r="G88" s="14"/>
      <c r="H88" s="14"/>
      <c r="I88" s="14"/>
      <c r="J88" s="13"/>
      <c r="K88" s="13"/>
      <c r="L88" s="13"/>
      <c r="M88" s="13"/>
      <c r="N88" s="15"/>
    </row>
    <row r="89" spans="1:14" ht="15.75" x14ac:dyDescent="0.25">
      <c r="A89" s="12">
        <v>1</v>
      </c>
      <c r="B89" s="171" t="s">
        <v>149</v>
      </c>
      <c r="C89" s="170"/>
      <c r="D89" s="14"/>
      <c r="E89" s="14"/>
      <c r="F89" s="14"/>
      <c r="G89" s="14"/>
      <c r="H89" s="14">
        <f>H33</f>
        <v>303.62149999999997</v>
      </c>
      <c r="I89" s="14"/>
      <c r="J89" s="13" t="s">
        <v>14</v>
      </c>
      <c r="K89" s="17" t="s">
        <v>15</v>
      </c>
      <c r="L89" s="13">
        <f>AHSP!I801</f>
        <v>34400</v>
      </c>
      <c r="M89" s="17" t="s">
        <v>15</v>
      </c>
      <c r="N89" s="15">
        <f>H89*L89</f>
        <v>10444579.6</v>
      </c>
    </row>
    <row r="90" spans="1:14" ht="15.75" x14ac:dyDescent="0.25">
      <c r="A90" s="12">
        <v>2</v>
      </c>
      <c r="B90" s="171" t="s">
        <v>150</v>
      </c>
      <c r="C90" s="170"/>
      <c r="D90" s="14"/>
      <c r="E90" s="14"/>
      <c r="F90" s="14"/>
      <c r="G90" s="14"/>
      <c r="H90" s="14">
        <v>7.2</v>
      </c>
      <c r="I90" s="14"/>
      <c r="J90" s="13" t="s">
        <v>14</v>
      </c>
      <c r="K90" s="17" t="s">
        <v>15</v>
      </c>
      <c r="L90" s="13">
        <f>AHSP!I814</f>
        <v>49300</v>
      </c>
      <c r="M90" s="17" t="s">
        <v>15</v>
      </c>
      <c r="N90" s="15">
        <f>H90*L90</f>
        <v>354960</v>
      </c>
    </row>
    <row r="91" spans="1:14" ht="15.75" x14ac:dyDescent="0.25">
      <c r="A91" s="12">
        <v>3</v>
      </c>
      <c r="B91" s="171" t="s">
        <v>151</v>
      </c>
      <c r="C91" s="170"/>
      <c r="D91" s="14"/>
      <c r="E91" s="14"/>
      <c r="F91" s="14"/>
      <c r="G91" s="14"/>
      <c r="H91" s="14">
        <f>H84</f>
        <v>53.997500000000002</v>
      </c>
      <c r="I91" s="14"/>
      <c r="J91" s="13" t="s">
        <v>14</v>
      </c>
      <c r="K91" s="17" t="s">
        <v>15</v>
      </c>
      <c r="L91" s="13">
        <f>AHSP!I831</f>
        <v>49500</v>
      </c>
      <c r="M91" s="17" t="s">
        <v>15</v>
      </c>
      <c r="N91" s="15">
        <f>H91*L91</f>
        <v>2672876.25</v>
      </c>
    </row>
    <row r="92" spans="1:14" ht="15.75" x14ac:dyDescent="0.25">
      <c r="A92" s="21"/>
      <c r="B92" s="155"/>
      <c r="C92" s="156"/>
      <c r="D92" s="24"/>
      <c r="E92" s="24"/>
      <c r="F92" s="24"/>
      <c r="G92" s="24"/>
      <c r="H92" s="24"/>
      <c r="I92" s="24"/>
      <c r="J92" s="22"/>
      <c r="K92" s="54" t="s">
        <v>179</v>
      </c>
      <c r="L92" s="54"/>
      <c r="M92" s="54" t="s">
        <v>15</v>
      </c>
      <c r="N92" s="55">
        <f>SUM(N89:N91)</f>
        <v>13472415.85</v>
      </c>
    </row>
    <row r="93" spans="1:14" ht="15.75" x14ac:dyDescent="0.25">
      <c r="A93" s="12"/>
      <c r="B93" s="171"/>
      <c r="C93" s="170"/>
      <c r="D93" s="14"/>
      <c r="E93" s="14"/>
      <c r="F93" s="14"/>
      <c r="G93" s="14"/>
      <c r="H93" s="14"/>
      <c r="I93" s="14"/>
      <c r="J93" s="13"/>
      <c r="K93" s="13"/>
      <c r="L93" s="13"/>
      <c r="M93" s="13"/>
      <c r="N93" s="15"/>
    </row>
    <row r="94" spans="1:14" ht="15.75" x14ac:dyDescent="0.25">
      <c r="A94" s="78" t="s">
        <v>42</v>
      </c>
      <c r="B94" s="162" t="s">
        <v>77</v>
      </c>
      <c r="C94" s="152"/>
      <c r="D94" s="14"/>
      <c r="E94" s="14"/>
      <c r="F94" s="14"/>
      <c r="G94" s="14"/>
      <c r="H94" s="14"/>
      <c r="I94" s="14"/>
      <c r="J94" s="13"/>
      <c r="K94" s="56"/>
      <c r="L94" s="13"/>
      <c r="M94" s="56"/>
      <c r="N94" s="15"/>
    </row>
    <row r="95" spans="1:14" ht="15.75" x14ac:dyDescent="0.25">
      <c r="A95" s="12">
        <v>1</v>
      </c>
      <c r="B95" s="171" t="s">
        <v>78</v>
      </c>
      <c r="C95" s="170"/>
      <c r="D95" s="14"/>
      <c r="E95" s="14"/>
      <c r="F95" s="14"/>
      <c r="G95" s="14"/>
      <c r="H95" s="14"/>
      <c r="I95" s="14"/>
      <c r="J95" s="13" t="s">
        <v>1037</v>
      </c>
      <c r="K95" s="56" t="s">
        <v>15</v>
      </c>
      <c r="L95" s="13">
        <f>AHSP!I865</f>
        <v>641600</v>
      </c>
      <c r="M95" s="56" t="s">
        <v>15</v>
      </c>
      <c r="N95" s="15">
        <f>L95*D95</f>
        <v>0</v>
      </c>
    </row>
    <row r="96" spans="1:14" ht="15.75" x14ac:dyDescent="0.25">
      <c r="A96" s="12">
        <v>2</v>
      </c>
      <c r="B96" s="171" t="s">
        <v>79</v>
      </c>
      <c r="C96" s="170"/>
      <c r="D96" s="14"/>
      <c r="E96" s="14"/>
      <c r="F96" s="14"/>
      <c r="G96" s="14"/>
      <c r="H96" s="14"/>
      <c r="I96" s="14"/>
      <c r="J96" s="13" t="s">
        <v>1037</v>
      </c>
      <c r="K96" s="56" t="s">
        <v>15</v>
      </c>
      <c r="L96" s="13">
        <f>AHSP!I882</f>
        <v>205800</v>
      </c>
      <c r="M96" s="56" t="s">
        <v>15</v>
      </c>
      <c r="N96" s="15">
        <f t="shared" ref="N96:N112" si="7">L96*D96</f>
        <v>0</v>
      </c>
    </row>
    <row r="97" spans="1:14" ht="15.75" x14ac:dyDescent="0.25">
      <c r="A97" s="12">
        <v>3</v>
      </c>
      <c r="B97" s="171" t="s">
        <v>80</v>
      </c>
      <c r="C97" s="170"/>
      <c r="D97" s="14"/>
      <c r="E97" s="14"/>
      <c r="F97" s="14"/>
      <c r="G97" s="14"/>
      <c r="H97" s="14"/>
      <c r="I97" s="14"/>
      <c r="J97" s="13" t="s">
        <v>1037</v>
      </c>
      <c r="K97" s="56" t="s">
        <v>15</v>
      </c>
      <c r="L97" s="13">
        <f>AHSP!I899</f>
        <v>339200</v>
      </c>
      <c r="M97" s="56" t="s">
        <v>15</v>
      </c>
      <c r="N97" s="15">
        <f t="shared" si="7"/>
        <v>0</v>
      </c>
    </row>
    <row r="98" spans="1:14" ht="15.75" x14ac:dyDescent="0.25">
      <c r="A98" s="12">
        <v>4</v>
      </c>
      <c r="B98" s="171" t="s">
        <v>81</v>
      </c>
      <c r="C98" s="170"/>
      <c r="D98" s="14"/>
      <c r="E98" s="14"/>
      <c r="F98" s="14"/>
      <c r="G98" s="14"/>
      <c r="H98" s="14"/>
      <c r="I98" s="14"/>
      <c r="J98" s="13" t="s">
        <v>1037</v>
      </c>
      <c r="K98" s="56" t="s">
        <v>15</v>
      </c>
      <c r="L98" s="13">
        <f>AHSP!I916</f>
        <v>242600</v>
      </c>
      <c r="M98" s="56" t="s">
        <v>15</v>
      </c>
      <c r="N98" s="15">
        <f t="shared" si="7"/>
        <v>0</v>
      </c>
    </row>
    <row r="99" spans="1:14" ht="15.75" x14ac:dyDescent="0.25">
      <c r="A99" s="12">
        <v>5</v>
      </c>
      <c r="B99" s="171" t="s">
        <v>82</v>
      </c>
      <c r="C99" s="170"/>
      <c r="D99" s="14"/>
      <c r="E99" s="14"/>
      <c r="F99" s="14"/>
      <c r="G99" s="14"/>
      <c r="H99" s="14"/>
      <c r="I99" s="14"/>
      <c r="J99" s="13" t="s">
        <v>1037</v>
      </c>
      <c r="K99" s="56" t="s">
        <v>15</v>
      </c>
      <c r="L99" s="13">
        <f>AHSP!I933</f>
        <v>179300</v>
      </c>
      <c r="M99" s="56" t="s">
        <v>15</v>
      </c>
      <c r="N99" s="15">
        <f t="shared" si="7"/>
        <v>0</v>
      </c>
    </row>
    <row r="100" spans="1:14" ht="15.75" x14ac:dyDescent="0.25">
      <c r="A100" s="12">
        <v>6</v>
      </c>
      <c r="B100" s="171" t="s">
        <v>83</v>
      </c>
      <c r="C100" s="170"/>
      <c r="D100" s="14"/>
      <c r="E100" s="14"/>
      <c r="F100" s="14"/>
      <c r="G100" s="14"/>
      <c r="H100" s="14"/>
      <c r="I100" s="14"/>
      <c r="J100" s="13" t="s">
        <v>1037</v>
      </c>
      <c r="K100" s="56" t="s">
        <v>15</v>
      </c>
      <c r="L100" s="13">
        <f>AHSP!I950</f>
        <v>1018800</v>
      </c>
      <c r="M100" s="56" t="s">
        <v>15</v>
      </c>
      <c r="N100" s="15">
        <f t="shared" si="7"/>
        <v>0</v>
      </c>
    </row>
    <row r="101" spans="1:14" ht="15.75" x14ac:dyDescent="0.25">
      <c r="A101" s="12">
        <v>7</v>
      </c>
      <c r="B101" s="171" t="s">
        <v>84</v>
      </c>
      <c r="C101" s="170"/>
      <c r="D101" s="14"/>
      <c r="E101" s="14"/>
      <c r="F101" s="14"/>
      <c r="G101" s="14"/>
      <c r="H101" s="14"/>
      <c r="I101" s="14"/>
      <c r="J101" s="13" t="s">
        <v>1037</v>
      </c>
      <c r="K101" s="56" t="s">
        <v>15</v>
      </c>
      <c r="L101" s="13">
        <f>AHSP!I966</f>
        <v>165000</v>
      </c>
      <c r="M101" s="56" t="s">
        <v>15</v>
      </c>
      <c r="N101" s="15">
        <f t="shared" si="7"/>
        <v>0</v>
      </c>
    </row>
    <row r="102" spans="1:14" ht="15.75" x14ac:dyDescent="0.25">
      <c r="A102" s="12">
        <v>8</v>
      </c>
      <c r="B102" s="171" t="s">
        <v>85</v>
      </c>
      <c r="C102" s="170"/>
      <c r="D102" s="14"/>
      <c r="E102" s="14"/>
      <c r="F102" s="14"/>
      <c r="G102" s="14"/>
      <c r="H102" s="14"/>
      <c r="I102" s="14"/>
      <c r="J102" s="13" t="s">
        <v>1037</v>
      </c>
      <c r="K102" s="56" t="s">
        <v>15</v>
      </c>
      <c r="L102" s="13">
        <f>AHSP!I982</f>
        <v>173600</v>
      </c>
      <c r="M102" s="56" t="s">
        <v>15</v>
      </c>
      <c r="N102" s="15">
        <f t="shared" si="7"/>
        <v>0</v>
      </c>
    </row>
    <row r="103" spans="1:14" ht="15.75" x14ac:dyDescent="0.25">
      <c r="A103" s="12">
        <v>9</v>
      </c>
      <c r="B103" s="171" t="s">
        <v>86</v>
      </c>
      <c r="C103" s="170"/>
      <c r="D103" s="14"/>
      <c r="E103" s="14"/>
      <c r="F103" s="14"/>
      <c r="G103" s="14"/>
      <c r="H103" s="14"/>
      <c r="I103" s="14"/>
      <c r="J103" s="13" t="s">
        <v>1037</v>
      </c>
      <c r="K103" s="56" t="s">
        <v>15</v>
      </c>
      <c r="L103" s="13">
        <f>AHSP!I998</f>
        <v>181100</v>
      </c>
      <c r="M103" s="56" t="s">
        <v>15</v>
      </c>
      <c r="N103" s="15">
        <f t="shared" si="7"/>
        <v>0</v>
      </c>
    </row>
    <row r="104" spans="1:14" ht="15.75" x14ac:dyDescent="0.25">
      <c r="A104" s="12">
        <v>10</v>
      </c>
      <c r="B104" s="171" t="s">
        <v>87</v>
      </c>
      <c r="C104" s="170"/>
      <c r="D104" s="14"/>
      <c r="E104" s="14"/>
      <c r="F104" s="14"/>
      <c r="G104" s="14"/>
      <c r="H104" s="14"/>
      <c r="I104" s="14"/>
      <c r="J104" s="13" t="s">
        <v>1037</v>
      </c>
      <c r="K104" s="56" t="s">
        <v>15</v>
      </c>
      <c r="L104" s="13">
        <f>AHSP!I1014</f>
        <v>185700</v>
      </c>
      <c r="M104" s="56" t="s">
        <v>15</v>
      </c>
      <c r="N104" s="15">
        <f t="shared" si="7"/>
        <v>0</v>
      </c>
    </row>
    <row r="105" spans="1:14" ht="15.75" x14ac:dyDescent="0.25">
      <c r="A105" s="12">
        <v>11</v>
      </c>
      <c r="B105" s="171" t="s">
        <v>88</v>
      </c>
      <c r="C105" s="170"/>
      <c r="D105" s="14"/>
      <c r="E105" s="14"/>
      <c r="F105" s="14"/>
      <c r="G105" s="14"/>
      <c r="H105" s="14"/>
      <c r="I105" s="14"/>
      <c r="J105" s="13" t="s">
        <v>1037</v>
      </c>
      <c r="K105" s="56" t="s">
        <v>15</v>
      </c>
      <c r="L105" s="13">
        <f>AHSP!I1030</f>
        <v>199100</v>
      </c>
      <c r="M105" s="56" t="s">
        <v>15</v>
      </c>
      <c r="N105" s="15">
        <f t="shared" si="7"/>
        <v>0</v>
      </c>
    </row>
    <row r="106" spans="1:14" ht="15.75" x14ac:dyDescent="0.25">
      <c r="A106" s="12">
        <v>12</v>
      </c>
      <c r="B106" s="171" t="s">
        <v>89</v>
      </c>
      <c r="C106" s="170"/>
      <c r="D106" s="14"/>
      <c r="E106" s="14"/>
      <c r="F106" s="14"/>
      <c r="G106" s="14"/>
      <c r="H106" s="14"/>
      <c r="I106" s="14"/>
      <c r="J106" s="13" t="s">
        <v>1037</v>
      </c>
      <c r="K106" s="56" t="s">
        <v>15</v>
      </c>
      <c r="L106" s="13">
        <f>AHSP!I1046</f>
        <v>165500</v>
      </c>
      <c r="M106" s="56" t="s">
        <v>15</v>
      </c>
      <c r="N106" s="15">
        <f t="shared" si="7"/>
        <v>0</v>
      </c>
    </row>
    <row r="107" spans="1:14" ht="15.75" x14ac:dyDescent="0.25">
      <c r="A107" s="12">
        <v>13</v>
      </c>
      <c r="B107" s="171" t="s">
        <v>90</v>
      </c>
      <c r="C107" s="170"/>
      <c r="D107" s="14"/>
      <c r="E107" s="14"/>
      <c r="F107" s="14"/>
      <c r="G107" s="14"/>
      <c r="H107" s="14"/>
      <c r="I107" s="14"/>
      <c r="J107" s="13" t="s">
        <v>1037</v>
      </c>
      <c r="K107" s="56" t="s">
        <v>15</v>
      </c>
      <c r="L107" s="13">
        <f>AHSP!I1062</f>
        <v>174200</v>
      </c>
      <c r="M107" s="56" t="s">
        <v>15</v>
      </c>
      <c r="N107" s="15">
        <f t="shared" si="7"/>
        <v>0</v>
      </c>
    </row>
    <row r="108" spans="1:14" ht="15.75" x14ac:dyDescent="0.25">
      <c r="A108" s="12">
        <v>14</v>
      </c>
      <c r="B108" s="171" t="s">
        <v>1335</v>
      </c>
      <c r="C108" s="170"/>
      <c r="D108" s="14"/>
      <c r="E108" s="14"/>
      <c r="F108" s="14"/>
      <c r="G108" s="14"/>
      <c r="H108" s="14"/>
      <c r="I108" s="14"/>
      <c r="J108" s="13" t="s">
        <v>1037</v>
      </c>
      <c r="K108" s="56" t="s">
        <v>15</v>
      </c>
      <c r="L108" s="13">
        <f>AHSP!I1070</f>
        <v>6678700</v>
      </c>
      <c r="M108" s="56" t="s">
        <v>15</v>
      </c>
      <c r="N108" s="15">
        <f t="shared" si="7"/>
        <v>0</v>
      </c>
    </row>
    <row r="109" spans="1:14" ht="15.75" x14ac:dyDescent="0.25">
      <c r="A109" s="12">
        <v>15</v>
      </c>
      <c r="B109" s="171" t="s">
        <v>92</v>
      </c>
      <c r="C109" s="170"/>
      <c r="D109" s="14"/>
      <c r="E109" s="14"/>
      <c r="F109" s="14"/>
      <c r="G109" s="14"/>
      <c r="H109" s="14"/>
      <c r="I109" s="14"/>
      <c r="J109" s="13" t="s">
        <v>1037</v>
      </c>
      <c r="K109" s="17" t="s">
        <v>15</v>
      </c>
      <c r="L109" s="13">
        <f>AHSP!I1078</f>
        <v>18264900</v>
      </c>
      <c r="M109" s="17" t="s">
        <v>15</v>
      </c>
      <c r="N109" s="15">
        <f t="shared" si="7"/>
        <v>0</v>
      </c>
    </row>
    <row r="110" spans="1:14" ht="15.75" x14ac:dyDescent="0.25">
      <c r="A110" s="12">
        <v>16</v>
      </c>
      <c r="B110" s="171" t="s">
        <v>93</v>
      </c>
      <c r="C110" s="170"/>
      <c r="D110" s="14"/>
      <c r="E110" s="14"/>
      <c r="F110" s="14"/>
      <c r="G110" s="14"/>
      <c r="H110" s="14"/>
      <c r="I110" s="14"/>
      <c r="J110" s="13" t="s">
        <v>1037</v>
      </c>
      <c r="K110" s="17" t="s">
        <v>15</v>
      </c>
      <c r="L110" s="13">
        <f>AHSP!I1086</f>
        <v>10099900</v>
      </c>
      <c r="M110" s="17" t="s">
        <v>15</v>
      </c>
      <c r="N110" s="15">
        <f t="shared" si="7"/>
        <v>0</v>
      </c>
    </row>
    <row r="111" spans="1:14" ht="15.75" x14ac:dyDescent="0.25">
      <c r="A111" s="12">
        <v>17</v>
      </c>
      <c r="B111" s="171" t="s">
        <v>94</v>
      </c>
      <c r="C111" s="170"/>
      <c r="D111" s="14"/>
      <c r="E111" s="14"/>
      <c r="F111" s="14"/>
      <c r="G111" s="14"/>
      <c r="H111" s="14"/>
      <c r="I111" s="14"/>
      <c r="J111" s="13" t="s">
        <v>1037</v>
      </c>
      <c r="K111" s="17" t="s">
        <v>15</v>
      </c>
      <c r="L111" s="13">
        <f>AHSP!I1094</f>
        <v>350700</v>
      </c>
      <c r="M111" s="17" t="s">
        <v>15</v>
      </c>
      <c r="N111" s="15">
        <f t="shared" si="7"/>
        <v>0</v>
      </c>
    </row>
    <row r="112" spans="1:14" ht="15.75" x14ac:dyDescent="0.25">
      <c r="A112" s="12">
        <v>18</v>
      </c>
      <c r="B112" s="171" t="s">
        <v>95</v>
      </c>
      <c r="C112" s="170"/>
      <c r="D112" s="14"/>
      <c r="E112" s="14"/>
      <c r="F112" s="14"/>
      <c r="G112" s="14"/>
      <c r="H112" s="14"/>
      <c r="I112" s="14"/>
      <c r="J112" s="13" t="s">
        <v>1037</v>
      </c>
      <c r="K112" s="17" t="s">
        <v>15</v>
      </c>
      <c r="L112" s="13">
        <f>AHSP!I1102</f>
        <v>6037500</v>
      </c>
      <c r="M112" s="17" t="s">
        <v>15</v>
      </c>
      <c r="N112" s="15">
        <f t="shared" si="7"/>
        <v>0</v>
      </c>
    </row>
    <row r="113" spans="1:14" ht="15.75" x14ac:dyDescent="0.25">
      <c r="A113" s="21"/>
      <c r="B113" s="155"/>
      <c r="C113" s="156"/>
      <c r="D113" s="24"/>
      <c r="E113" s="24"/>
      <c r="F113" s="24"/>
      <c r="G113" s="24"/>
      <c r="H113" s="24"/>
      <c r="I113" s="24"/>
      <c r="J113" s="22"/>
      <c r="K113" s="54" t="s">
        <v>180</v>
      </c>
      <c r="L113" s="54"/>
      <c r="M113" s="54" t="s">
        <v>15</v>
      </c>
      <c r="N113" s="55">
        <f>SUM(N94:N112)</f>
        <v>0</v>
      </c>
    </row>
    <row r="114" spans="1:14" ht="15.75" x14ac:dyDescent="0.25">
      <c r="A114" s="12"/>
      <c r="B114" s="171"/>
      <c r="C114" s="170"/>
      <c r="D114" s="14"/>
      <c r="E114" s="14"/>
      <c r="F114" s="14"/>
      <c r="G114" s="14"/>
      <c r="H114" s="14"/>
      <c r="I114" s="14"/>
      <c r="J114" s="13"/>
      <c r="K114" s="13"/>
      <c r="L114" s="13"/>
      <c r="M114" s="13"/>
      <c r="N114" s="15"/>
    </row>
    <row r="115" spans="1:14" ht="15.75" x14ac:dyDescent="0.25">
      <c r="A115" s="78" t="s">
        <v>43</v>
      </c>
      <c r="B115" s="162" t="s">
        <v>96</v>
      </c>
      <c r="C115" s="152"/>
      <c r="D115" s="14"/>
      <c r="E115" s="14"/>
      <c r="F115" s="14"/>
      <c r="G115" s="14"/>
      <c r="H115" s="14"/>
      <c r="I115" s="14"/>
      <c r="J115" s="13"/>
      <c r="K115" s="13"/>
      <c r="L115" s="13"/>
      <c r="M115" s="13"/>
      <c r="N115" s="15"/>
    </row>
    <row r="116" spans="1:14" ht="15.75" x14ac:dyDescent="0.25">
      <c r="A116" s="12">
        <v>1</v>
      </c>
      <c r="B116" s="171" t="s">
        <v>97</v>
      </c>
      <c r="C116" s="170"/>
      <c r="D116" s="14"/>
      <c r="E116" s="14"/>
      <c r="F116" s="14"/>
      <c r="G116" s="14"/>
      <c r="H116" s="14"/>
      <c r="I116" s="14"/>
      <c r="J116" s="13" t="s">
        <v>1037</v>
      </c>
      <c r="K116" s="56" t="s">
        <v>15</v>
      </c>
      <c r="L116" s="13">
        <f>AHSP!I1120</f>
        <v>7927400</v>
      </c>
      <c r="M116" s="56" t="s">
        <v>15</v>
      </c>
      <c r="N116" s="15"/>
    </row>
    <row r="117" spans="1:14" ht="15.75" x14ac:dyDescent="0.25">
      <c r="A117" s="12">
        <v>2</v>
      </c>
      <c r="B117" s="171" t="s">
        <v>98</v>
      </c>
      <c r="C117" s="170"/>
      <c r="D117" s="14"/>
      <c r="E117" s="14"/>
      <c r="F117" s="14"/>
      <c r="G117" s="14"/>
      <c r="H117" s="14"/>
      <c r="I117" s="14"/>
      <c r="J117" s="13" t="s">
        <v>1037</v>
      </c>
      <c r="K117" s="56" t="s">
        <v>15</v>
      </c>
      <c r="L117" s="13">
        <f>AHSP!I1132</f>
        <v>399400</v>
      </c>
      <c r="M117" s="56" t="s">
        <v>15</v>
      </c>
      <c r="N117" s="15"/>
    </row>
    <row r="118" spans="1:14" ht="15.75" x14ac:dyDescent="0.25">
      <c r="A118" s="12">
        <v>3</v>
      </c>
      <c r="B118" s="171" t="s">
        <v>99</v>
      </c>
      <c r="C118" s="170"/>
      <c r="D118" s="14"/>
      <c r="E118" s="14"/>
      <c r="F118" s="14"/>
      <c r="G118" s="14"/>
      <c r="H118" s="14"/>
      <c r="I118" s="14"/>
      <c r="J118" s="13" t="s">
        <v>1037</v>
      </c>
      <c r="K118" s="56" t="s">
        <v>15</v>
      </c>
      <c r="L118" s="13">
        <f>AHSP!I1144</f>
        <v>484300</v>
      </c>
      <c r="M118" s="56" t="s">
        <v>15</v>
      </c>
      <c r="N118" s="15"/>
    </row>
    <row r="119" spans="1:14" ht="15.75" x14ac:dyDescent="0.25">
      <c r="A119" s="12">
        <v>4</v>
      </c>
      <c r="B119" s="171" t="s">
        <v>100</v>
      </c>
      <c r="C119" s="170"/>
      <c r="D119" s="14"/>
      <c r="E119" s="14"/>
      <c r="F119" s="14"/>
      <c r="G119" s="14"/>
      <c r="H119" s="14"/>
      <c r="I119" s="14"/>
      <c r="J119" s="13" t="s">
        <v>1037</v>
      </c>
      <c r="K119" s="56" t="s">
        <v>15</v>
      </c>
      <c r="L119" s="13">
        <f>AHSP!I1156</f>
        <v>2419800</v>
      </c>
      <c r="M119" s="56" t="s">
        <v>15</v>
      </c>
      <c r="N119" s="15"/>
    </row>
    <row r="120" spans="1:14" ht="15.75" x14ac:dyDescent="0.25">
      <c r="A120" s="12">
        <v>5</v>
      </c>
      <c r="B120" s="171" t="s">
        <v>101</v>
      </c>
      <c r="C120" s="170"/>
      <c r="D120" s="14"/>
      <c r="E120" s="14"/>
      <c r="F120" s="14"/>
      <c r="G120" s="14"/>
      <c r="H120" s="14"/>
      <c r="I120" s="14"/>
      <c r="J120" s="13" t="s">
        <v>1037</v>
      </c>
      <c r="K120" s="56" t="s">
        <v>15</v>
      </c>
      <c r="L120" s="13">
        <f>AHSP!I1168</f>
        <v>2419800</v>
      </c>
      <c r="M120" s="56" t="s">
        <v>15</v>
      </c>
      <c r="N120" s="15"/>
    </row>
    <row r="121" spans="1:14" ht="15.75" x14ac:dyDescent="0.25">
      <c r="A121" s="12">
        <v>6</v>
      </c>
      <c r="B121" s="171" t="s">
        <v>102</v>
      </c>
      <c r="C121" s="170"/>
      <c r="D121" s="14"/>
      <c r="E121" s="14"/>
      <c r="F121" s="14"/>
      <c r="G121" s="14"/>
      <c r="H121" s="14"/>
      <c r="I121" s="14"/>
      <c r="J121" s="13" t="s">
        <v>1037</v>
      </c>
      <c r="K121" s="56" t="s">
        <v>15</v>
      </c>
      <c r="L121" s="13">
        <f>AHSP!I1180</f>
        <v>108300</v>
      </c>
      <c r="M121" s="56" t="s">
        <v>15</v>
      </c>
      <c r="N121" s="15"/>
    </row>
    <row r="122" spans="1:14" ht="15.75" x14ac:dyDescent="0.25">
      <c r="A122" s="12">
        <v>7</v>
      </c>
      <c r="B122" s="171" t="s">
        <v>103</v>
      </c>
      <c r="C122" s="170"/>
      <c r="D122" s="14"/>
      <c r="E122" s="14"/>
      <c r="F122" s="14"/>
      <c r="G122" s="14"/>
      <c r="H122" s="14"/>
      <c r="I122" s="14"/>
      <c r="J122" s="13" t="s">
        <v>1037</v>
      </c>
      <c r="K122" s="56" t="s">
        <v>15</v>
      </c>
      <c r="L122" s="13">
        <f>AHSP!I1192</f>
        <v>369900</v>
      </c>
      <c r="M122" s="56" t="s">
        <v>15</v>
      </c>
      <c r="N122" s="15"/>
    </row>
    <row r="123" spans="1:14" ht="15.75" x14ac:dyDescent="0.25">
      <c r="A123" s="12">
        <v>8</v>
      </c>
      <c r="B123" s="171" t="s">
        <v>104</v>
      </c>
      <c r="C123" s="170"/>
      <c r="D123" s="14"/>
      <c r="E123" s="14"/>
      <c r="F123" s="14"/>
      <c r="G123" s="14"/>
      <c r="H123" s="14"/>
      <c r="I123" s="14"/>
      <c r="J123" s="13" t="s">
        <v>1037</v>
      </c>
      <c r="K123" s="56" t="s">
        <v>15</v>
      </c>
      <c r="L123" s="13">
        <f>AHSP!I1204</f>
        <v>793700</v>
      </c>
      <c r="M123" s="56" t="s">
        <v>15</v>
      </c>
      <c r="N123" s="15"/>
    </row>
    <row r="124" spans="1:14" ht="15.75" x14ac:dyDescent="0.25">
      <c r="A124" s="12">
        <v>9</v>
      </c>
      <c r="B124" s="171" t="s">
        <v>105</v>
      </c>
      <c r="C124" s="170"/>
      <c r="D124" s="14"/>
      <c r="E124" s="14"/>
      <c r="F124" s="14"/>
      <c r="G124" s="14"/>
      <c r="H124" s="14"/>
      <c r="I124" s="14"/>
      <c r="J124" s="13" t="s">
        <v>1037</v>
      </c>
      <c r="K124" s="56" t="s">
        <v>15</v>
      </c>
      <c r="L124" s="13">
        <f>AHSP!I1216</f>
        <v>56500</v>
      </c>
      <c r="M124" s="56" t="s">
        <v>15</v>
      </c>
      <c r="N124" s="15"/>
    </row>
    <row r="125" spans="1:14" ht="15.75" x14ac:dyDescent="0.25">
      <c r="A125" s="12">
        <v>10</v>
      </c>
      <c r="B125" s="171" t="s">
        <v>106</v>
      </c>
      <c r="C125" s="170"/>
      <c r="D125" s="14"/>
      <c r="E125" s="14"/>
      <c r="F125" s="14"/>
      <c r="G125" s="14"/>
      <c r="H125" s="14"/>
      <c r="I125" s="14"/>
      <c r="J125" s="13" t="s">
        <v>1037</v>
      </c>
      <c r="K125" s="56" t="s">
        <v>15</v>
      </c>
      <c r="L125" s="13">
        <f>AHSP!I1229</f>
        <v>390000</v>
      </c>
      <c r="M125" s="56" t="s">
        <v>15</v>
      </c>
      <c r="N125" s="15"/>
    </row>
    <row r="126" spans="1:14" ht="15.75" x14ac:dyDescent="0.25">
      <c r="A126" s="12">
        <v>11</v>
      </c>
      <c r="B126" s="171" t="s">
        <v>107</v>
      </c>
      <c r="C126" s="170"/>
      <c r="D126" s="14"/>
      <c r="E126" s="14"/>
      <c r="F126" s="14"/>
      <c r="G126" s="14"/>
      <c r="H126" s="14"/>
      <c r="I126" s="14"/>
      <c r="J126" s="13" t="s">
        <v>1037</v>
      </c>
      <c r="K126" s="56" t="s">
        <v>15</v>
      </c>
      <c r="L126" s="13">
        <f>AHSP!I1242</f>
        <v>1879300</v>
      </c>
      <c r="M126" s="56" t="s">
        <v>15</v>
      </c>
      <c r="N126" s="15"/>
    </row>
    <row r="127" spans="1:14" ht="15.75" x14ac:dyDescent="0.25">
      <c r="A127" s="12">
        <v>12</v>
      </c>
      <c r="B127" s="171" t="s">
        <v>152</v>
      </c>
      <c r="C127" s="170"/>
      <c r="D127" s="14"/>
      <c r="E127" s="14"/>
      <c r="F127" s="14"/>
      <c r="G127" s="14"/>
      <c r="H127" s="14"/>
      <c r="I127" s="14"/>
      <c r="J127" s="13" t="s">
        <v>1037</v>
      </c>
      <c r="K127" s="56" t="s">
        <v>15</v>
      </c>
      <c r="L127" s="13">
        <f>AHSP!I1255</f>
        <v>2343200</v>
      </c>
      <c r="M127" s="56" t="s">
        <v>15</v>
      </c>
      <c r="N127" s="15"/>
    </row>
    <row r="128" spans="1:14" ht="15.75" x14ac:dyDescent="0.25">
      <c r="A128" s="12">
        <v>13</v>
      </c>
      <c r="B128" s="171" t="s">
        <v>109</v>
      </c>
      <c r="C128" s="170"/>
      <c r="D128" s="14"/>
      <c r="E128" s="14">
        <v>28</v>
      </c>
      <c r="F128" s="14"/>
      <c r="G128" s="14"/>
      <c r="H128" s="14"/>
      <c r="I128" s="14"/>
      <c r="J128" s="13" t="s">
        <v>16</v>
      </c>
      <c r="K128" s="56" t="s">
        <v>15</v>
      </c>
      <c r="L128" s="13">
        <f>AHSP!I1268</f>
        <v>124400</v>
      </c>
      <c r="M128" s="56" t="s">
        <v>15</v>
      </c>
      <c r="N128" s="15">
        <f>L128*E128</f>
        <v>3483200</v>
      </c>
    </row>
    <row r="129" spans="1:14" ht="15.75" x14ac:dyDescent="0.25">
      <c r="A129" s="12">
        <v>14</v>
      </c>
      <c r="B129" s="171" t="s">
        <v>110</v>
      </c>
      <c r="C129" s="170"/>
      <c r="D129" s="14"/>
      <c r="E129" s="14">
        <f>16*2</f>
        <v>32</v>
      </c>
      <c r="F129" s="14"/>
      <c r="G129" s="14"/>
      <c r="H129" s="14"/>
      <c r="I129" s="14"/>
      <c r="J129" s="13" t="s">
        <v>16</v>
      </c>
      <c r="K129" s="56" t="s">
        <v>15</v>
      </c>
      <c r="L129" s="13">
        <f>AHSP!I1281</f>
        <v>188300</v>
      </c>
      <c r="M129" s="56" t="s">
        <v>15</v>
      </c>
      <c r="N129" s="15">
        <f>L129*E129</f>
        <v>6025600</v>
      </c>
    </row>
    <row r="130" spans="1:14" ht="15.75" x14ac:dyDescent="0.25">
      <c r="A130" s="12">
        <v>15</v>
      </c>
      <c r="B130" s="171" t="s">
        <v>111</v>
      </c>
      <c r="C130" s="170"/>
      <c r="D130" s="14">
        <v>3</v>
      </c>
      <c r="E130" s="14"/>
      <c r="F130" s="14"/>
      <c r="G130" s="14"/>
      <c r="H130" s="14"/>
      <c r="I130" s="14"/>
      <c r="J130" s="13" t="s">
        <v>1037</v>
      </c>
      <c r="K130" s="56" t="s">
        <v>15</v>
      </c>
      <c r="L130" s="13">
        <f>AHSP!I1294</f>
        <v>305100</v>
      </c>
      <c r="M130" s="56" t="s">
        <v>15</v>
      </c>
      <c r="N130" s="15">
        <f>L130*D130</f>
        <v>915300</v>
      </c>
    </row>
    <row r="131" spans="1:14" ht="15.75" x14ac:dyDescent="0.25">
      <c r="A131" s="12">
        <v>16</v>
      </c>
      <c r="B131" s="171" t="s">
        <v>153</v>
      </c>
      <c r="C131" s="170"/>
      <c r="D131" s="14"/>
      <c r="E131" s="14"/>
      <c r="F131" s="14"/>
      <c r="G131" s="14"/>
      <c r="H131" s="14"/>
      <c r="I131" s="14"/>
      <c r="J131" s="13" t="s">
        <v>1037</v>
      </c>
      <c r="K131" s="56" t="s">
        <v>15</v>
      </c>
      <c r="L131" s="13">
        <f>AHSP!I1307</f>
        <v>124600</v>
      </c>
      <c r="M131" s="56" t="s">
        <v>15</v>
      </c>
      <c r="N131" s="15">
        <f t="shared" ref="N131:N134" si="8">H131*L131</f>
        <v>0</v>
      </c>
    </row>
    <row r="132" spans="1:14" ht="15.75" x14ac:dyDescent="0.25">
      <c r="A132" s="12">
        <v>17</v>
      </c>
      <c r="B132" s="171" t="s">
        <v>154</v>
      </c>
      <c r="C132" s="170"/>
      <c r="D132" s="14">
        <v>2</v>
      </c>
      <c r="E132" s="14"/>
      <c r="F132" s="14"/>
      <c r="G132" s="14"/>
      <c r="H132" s="14"/>
      <c r="I132" s="14"/>
      <c r="J132" s="13" t="s">
        <v>1037</v>
      </c>
      <c r="K132" s="56" t="s">
        <v>15</v>
      </c>
      <c r="L132" s="13">
        <f>AHSP!I1323</f>
        <v>592300</v>
      </c>
      <c r="M132" s="56" t="s">
        <v>15</v>
      </c>
      <c r="N132" s="15">
        <f t="shared" si="8"/>
        <v>0</v>
      </c>
    </row>
    <row r="133" spans="1:14" ht="15.75" x14ac:dyDescent="0.25">
      <c r="A133" s="12">
        <v>18</v>
      </c>
      <c r="B133" s="171" t="s">
        <v>114</v>
      </c>
      <c r="C133" s="170"/>
      <c r="D133" s="14"/>
      <c r="E133" s="14"/>
      <c r="F133" s="14"/>
      <c r="G133" s="14"/>
      <c r="H133" s="14"/>
      <c r="I133" s="14"/>
      <c r="J133" s="13" t="s">
        <v>1037</v>
      </c>
      <c r="K133" s="56" t="s">
        <v>15</v>
      </c>
      <c r="L133" s="13">
        <f>AHSP!I1144</f>
        <v>484300</v>
      </c>
      <c r="M133" s="56" t="s">
        <v>15</v>
      </c>
      <c r="N133" s="15"/>
    </row>
    <row r="134" spans="1:14" ht="15.75" x14ac:dyDescent="0.25">
      <c r="A134" s="12">
        <v>19</v>
      </c>
      <c r="B134" s="171" t="s">
        <v>155</v>
      </c>
      <c r="C134" s="170"/>
      <c r="D134" s="14">
        <v>1</v>
      </c>
      <c r="E134" s="14"/>
      <c r="F134" s="14"/>
      <c r="G134" s="14"/>
      <c r="H134" s="14"/>
      <c r="I134" s="14"/>
      <c r="J134" s="13" t="s">
        <v>1037</v>
      </c>
      <c r="K134" s="56" t="s">
        <v>15</v>
      </c>
      <c r="L134" s="13">
        <f>AHSP!I1331</f>
        <v>5842000</v>
      </c>
      <c r="M134" s="56" t="s">
        <v>15</v>
      </c>
      <c r="N134" s="15">
        <f t="shared" si="8"/>
        <v>0</v>
      </c>
    </row>
    <row r="135" spans="1:14" ht="15.75" x14ac:dyDescent="0.25">
      <c r="A135" s="21"/>
      <c r="B135" s="155"/>
      <c r="C135" s="156"/>
      <c r="D135" s="24"/>
      <c r="E135" s="24"/>
      <c r="F135" s="24"/>
      <c r="G135" s="24"/>
      <c r="H135" s="24"/>
      <c r="I135" s="24"/>
      <c r="J135" s="22"/>
      <c r="K135" s="54" t="s">
        <v>44</v>
      </c>
      <c r="L135" s="54"/>
      <c r="M135" s="54" t="s">
        <v>15</v>
      </c>
      <c r="N135" s="55">
        <f>SUM(N115:N134)</f>
        <v>10424100</v>
      </c>
    </row>
    <row r="136" spans="1:14" ht="15.75" x14ac:dyDescent="0.25">
      <c r="A136" s="79"/>
      <c r="B136" s="61"/>
      <c r="C136" s="63"/>
      <c r="D136" s="14"/>
      <c r="E136" s="14"/>
      <c r="F136" s="14"/>
      <c r="G136" s="14"/>
      <c r="H136" s="14"/>
      <c r="I136" s="14"/>
      <c r="J136" s="13"/>
      <c r="K136" s="13"/>
      <c r="L136" s="13"/>
      <c r="M136" s="13"/>
      <c r="N136" s="15"/>
    </row>
    <row r="137" spans="1:14" ht="15.75" x14ac:dyDescent="0.25">
      <c r="A137" s="78" t="s">
        <v>45</v>
      </c>
      <c r="B137" s="162" t="s">
        <v>115</v>
      </c>
      <c r="C137" s="163"/>
      <c r="D137" s="14"/>
      <c r="E137" s="14"/>
      <c r="F137" s="14"/>
      <c r="G137" s="14"/>
      <c r="H137" s="14"/>
      <c r="I137" s="14"/>
      <c r="J137" s="13"/>
      <c r="K137" s="13"/>
      <c r="L137" s="13"/>
      <c r="M137" s="13"/>
      <c r="N137" s="15"/>
    </row>
    <row r="138" spans="1:14" ht="15.75" x14ac:dyDescent="0.25">
      <c r="A138" s="12">
        <v>1</v>
      </c>
      <c r="B138" s="171" t="s">
        <v>156</v>
      </c>
      <c r="C138" s="170"/>
      <c r="D138" s="14"/>
      <c r="E138" s="14"/>
      <c r="F138" s="14"/>
      <c r="G138" s="14"/>
      <c r="H138" s="14"/>
      <c r="I138" s="14"/>
      <c r="J138" s="13" t="s">
        <v>14</v>
      </c>
      <c r="K138" s="56" t="s">
        <v>15</v>
      </c>
      <c r="L138" s="13">
        <f>AHSP!I1345</f>
        <v>53400</v>
      </c>
      <c r="M138" s="56" t="s">
        <v>15</v>
      </c>
      <c r="N138" s="15">
        <f>L138*H138</f>
        <v>0</v>
      </c>
    </row>
    <row r="139" spans="1:14" ht="15.75" x14ac:dyDescent="0.25">
      <c r="A139" s="12">
        <v>2</v>
      </c>
      <c r="B139" s="171" t="s">
        <v>157</v>
      </c>
      <c r="C139" s="170"/>
      <c r="D139" s="14"/>
      <c r="E139" s="14"/>
      <c r="F139" s="14"/>
      <c r="G139" s="14"/>
      <c r="H139" s="14"/>
      <c r="I139" s="14"/>
      <c r="J139" s="13" t="s">
        <v>14</v>
      </c>
      <c r="K139" s="56" t="s">
        <v>15</v>
      </c>
      <c r="L139" s="13">
        <f>AHSP!I1354</f>
        <v>584100</v>
      </c>
      <c r="M139" s="56" t="s">
        <v>15</v>
      </c>
      <c r="N139" s="15">
        <f>L139*H139</f>
        <v>0</v>
      </c>
    </row>
    <row r="140" spans="1:14" ht="15.75" x14ac:dyDescent="0.25">
      <c r="A140" s="12">
        <v>3</v>
      </c>
      <c r="B140" s="171" t="s">
        <v>158</v>
      </c>
      <c r="C140" s="170"/>
      <c r="D140" s="14"/>
      <c r="E140" s="14"/>
      <c r="F140" s="14"/>
      <c r="G140" s="14"/>
      <c r="H140" s="14"/>
      <c r="I140" s="14"/>
      <c r="J140" s="13" t="s">
        <v>16</v>
      </c>
      <c r="K140" s="56" t="s">
        <v>15</v>
      </c>
      <c r="L140" s="13">
        <f>AHSP!I1369</f>
        <v>451200</v>
      </c>
      <c r="M140" s="56" t="s">
        <v>15</v>
      </c>
      <c r="N140" s="15">
        <f>L140*E140</f>
        <v>0</v>
      </c>
    </row>
    <row r="141" spans="1:14" ht="15.75" x14ac:dyDescent="0.25">
      <c r="A141" s="12">
        <v>4</v>
      </c>
      <c r="B141" s="171" t="s">
        <v>159</v>
      </c>
      <c r="C141" s="170"/>
      <c r="D141" s="14"/>
      <c r="E141" s="14"/>
      <c r="F141" s="14"/>
      <c r="G141" s="14"/>
      <c r="H141" s="14"/>
      <c r="I141" s="14"/>
      <c r="J141" s="13" t="s">
        <v>14</v>
      </c>
      <c r="K141" s="56" t="s">
        <v>15</v>
      </c>
      <c r="L141" s="13">
        <f>AHSP!I1381</f>
        <v>197300</v>
      </c>
      <c r="M141" s="56" t="s">
        <v>15</v>
      </c>
      <c r="N141" s="15"/>
    </row>
    <row r="142" spans="1:14" ht="15.75" x14ac:dyDescent="0.25">
      <c r="A142" s="21"/>
      <c r="B142" s="155"/>
      <c r="C142" s="156"/>
      <c r="D142" s="24"/>
      <c r="E142" s="24"/>
      <c r="F142" s="24"/>
      <c r="G142" s="24"/>
      <c r="H142" s="24"/>
      <c r="I142" s="24"/>
      <c r="J142" s="22"/>
      <c r="K142" s="54" t="s">
        <v>181</v>
      </c>
      <c r="L142" s="54"/>
      <c r="M142" s="54" t="s">
        <v>15</v>
      </c>
      <c r="N142" s="55">
        <f>SUM(N137:N141)</f>
        <v>0</v>
      </c>
    </row>
    <row r="143" spans="1:14" ht="15.75" x14ac:dyDescent="0.25">
      <c r="A143" s="79"/>
      <c r="B143" s="158"/>
      <c r="C143" s="174"/>
      <c r="D143" s="14"/>
      <c r="E143" s="14"/>
      <c r="F143" s="14"/>
      <c r="G143" s="14"/>
      <c r="H143" s="14"/>
      <c r="I143" s="14"/>
      <c r="J143" s="13"/>
      <c r="K143" s="13"/>
      <c r="L143" s="13"/>
      <c r="M143" s="13"/>
      <c r="N143" s="15"/>
    </row>
    <row r="144" spans="1:14" ht="15.75" x14ac:dyDescent="0.25">
      <c r="A144" s="80"/>
      <c r="B144" s="175" t="s">
        <v>117</v>
      </c>
      <c r="C144" s="176"/>
      <c r="D144" s="74"/>
      <c r="E144" s="74"/>
      <c r="F144" s="74"/>
      <c r="G144" s="74"/>
      <c r="H144" s="74"/>
      <c r="I144" s="74"/>
      <c r="J144" s="75"/>
      <c r="K144" s="75"/>
      <c r="L144" s="75"/>
      <c r="M144" s="75"/>
      <c r="N144" s="76"/>
    </row>
    <row r="145" spans="1:16" ht="15.75" x14ac:dyDescent="0.25">
      <c r="A145" s="78" t="s">
        <v>12</v>
      </c>
      <c r="B145" s="162" t="s">
        <v>118</v>
      </c>
      <c r="C145" s="152"/>
      <c r="D145" s="14"/>
      <c r="E145" s="14"/>
      <c r="F145" s="14"/>
      <c r="G145" s="14"/>
      <c r="H145" s="14"/>
      <c r="I145" s="14"/>
      <c r="J145" s="13"/>
      <c r="K145" s="13"/>
      <c r="L145" s="13"/>
      <c r="M145" s="13"/>
      <c r="N145" s="15"/>
    </row>
    <row r="146" spans="1:16" ht="15.75" x14ac:dyDescent="0.25">
      <c r="A146" s="12">
        <v>1</v>
      </c>
      <c r="B146" s="171" t="s">
        <v>160</v>
      </c>
      <c r="C146" s="170"/>
      <c r="D146" s="14"/>
      <c r="E146" s="14">
        <v>8.1</v>
      </c>
      <c r="F146" s="14"/>
      <c r="G146" s="14">
        <v>2.5</v>
      </c>
      <c r="H146" s="14">
        <f>E146*G146</f>
        <v>20.25</v>
      </c>
      <c r="I146" s="14"/>
      <c r="J146" s="219" t="str">
        <f>J25</f>
        <v>m2</v>
      </c>
      <c r="K146" s="219" t="str">
        <f t="shared" ref="K146:M147" si="9">K25</f>
        <v>Rp</v>
      </c>
      <c r="L146" s="219">
        <f t="shared" si="9"/>
        <v>139200</v>
      </c>
      <c r="M146" s="219" t="str">
        <f t="shared" si="9"/>
        <v>Rp</v>
      </c>
      <c r="N146" s="15">
        <f>L146*H146</f>
        <v>2818800</v>
      </c>
      <c r="P146" t="e">
        <f>SUMPRODUCT($B$10:$B$141=B146)*(J11:J141)</f>
        <v>#VALUE!</v>
      </c>
    </row>
    <row r="147" spans="1:16" ht="15.75" x14ac:dyDescent="0.25">
      <c r="A147" s="12">
        <v>2</v>
      </c>
      <c r="B147" s="171" t="s">
        <v>161</v>
      </c>
      <c r="C147" s="170"/>
      <c r="D147" s="14"/>
      <c r="E147" s="14">
        <v>42.325000000000003</v>
      </c>
      <c r="F147" s="14"/>
      <c r="G147" s="14">
        <v>2.5</v>
      </c>
      <c r="H147" s="14">
        <f>G147*E147*130%</f>
        <v>137.55625000000001</v>
      </c>
      <c r="I147" s="14"/>
      <c r="J147" s="219" t="str">
        <f>J26</f>
        <v>m2</v>
      </c>
      <c r="K147" s="219" t="str">
        <f t="shared" si="9"/>
        <v>Rp</v>
      </c>
      <c r="L147" s="219">
        <f t="shared" si="9"/>
        <v>133500</v>
      </c>
      <c r="M147" s="219" t="str">
        <f t="shared" si="9"/>
        <v>Rp</v>
      </c>
      <c r="N147" s="15">
        <f>L147*H147</f>
        <v>18363759.375</v>
      </c>
    </row>
    <row r="148" spans="1:16" ht="15.75" x14ac:dyDescent="0.25">
      <c r="A148" s="21"/>
      <c r="B148" s="155"/>
      <c r="C148" s="156"/>
      <c r="D148" s="24"/>
      <c r="E148" s="24"/>
      <c r="F148" s="24"/>
      <c r="G148" s="24"/>
      <c r="H148" s="24"/>
      <c r="I148" s="24"/>
      <c r="J148" s="22"/>
      <c r="K148" s="54" t="s">
        <v>182</v>
      </c>
      <c r="L148" s="54"/>
      <c r="M148" s="54" t="s">
        <v>15</v>
      </c>
      <c r="N148" s="55">
        <f>SUM(N146:N147)</f>
        <v>21182559.375</v>
      </c>
    </row>
    <row r="149" spans="1:16" ht="15.75" x14ac:dyDescent="0.25">
      <c r="A149" s="79"/>
      <c r="B149" s="158"/>
      <c r="C149" s="174"/>
      <c r="D149" s="14"/>
      <c r="E149" s="14"/>
      <c r="F149" s="14"/>
      <c r="G149" s="14"/>
      <c r="H149" s="14"/>
      <c r="I149" s="14"/>
      <c r="J149" s="13"/>
      <c r="K149" s="13"/>
      <c r="L149" s="13"/>
      <c r="M149" s="13"/>
      <c r="N149" s="15"/>
    </row>
    <row r="150" spans="1:16" ht="15.75" x14ac:dyDescent="0.25">
      <c r="A150" s="78" t="s">
        <v>18</v>
      </c>
      <c r="B150" s="162" t="s">
        <v>119</v>
      </c>
      <c r="C150" s="152"/>
      <c r="D150" s="14"/>
      <c r="E150" s="14"/>
      <c r="F150" s="14"/>
      <c r="G150" s="14"/>
      <c r="H150" s="14"/>
      <c r="I150" s="14"/>
      <c r="J150" s="13"/>
      <c r="K150" s="13"/>
      <c r="L150" s="13"/>
      <c r="M150" s="13"/>
      <c r="N150" s="15"/>
    </row>
    <row r="151" spans="1:16" ht="15.75" x14ac:dyDescent="0.25">
      <c r="A151" s="12">
        <v>1</v>
      </c>
      <c r="B151" s="171" t="s">
        <v>162</v>
      </c>
      <c r="C151" s="170"/>
      <c r="D151" s="14"/>
      <c r="E151" s="14"/>
      <c r="F151" s="14"/>
      <c r="G151" s="14"/>
      <c r="H151" s="14">
        <f>H147+H146</f>
        <v>157.80625000000001</v>
      </c>
      <c r="I151" s="14"/>
      <c r="J151" s="219" t="str">
        <f>J31</f>
        <v>m2</v>
      </c>
      <c r="K151" s="219" t="str">
        <f t="shared" ref="K151:L151" si="10">K31</f>
        <v>Rp</v>
      </c>
      <c r="L151" s="219">
        <f t="shared" si="10"/>
        <v>50300</v>
      </c>
      <c r="M151" s="56" t="s">
        <v>15</v>
      </c>
      <c r="N151" s="15">
        <f>L151*H151</f>
        <v>7937654.375</v>
      </c>
    </row>
    <row r="152" spans="1:16" ht="15.75" x14ac:dyDescent="0.25">
      <c r="A152" s="12">
        <v>2</v>
      </c>
      <c r="B152" s="171" t="s">
        <v>163</v>
      </c>
      <c r="C152" s="170"/>
      <c r="D152" s="14">
        <f>18*2.5*4*87%</f>
        <v>156.6</v>
      </c>
      <c r="E152" s="14"/>
      <c r="F152" s="14"/>
      <c r="G152" s="14"/>
      <c r="H152" s="14"/>
      <c r="I152" s="14"/>
      <c r="J152" s="219" t="str">
        <f t="shared" ref="J152:L152" si="11">J32</f>
        <v>m'</v>
      </c>
      <c r="K152" s="219" t="str">
        <f t="shared" si="11"/>
        <v>Rp</v>
      </c>
      <c r="L152" s="219">
        <f t="shared" si="11"/>
        <v>52500</v>
      </c>
      <c r="M152" s="56" t="s">
        <v>15</v>
      </c>
      <c r="N152" s="15">
        <f>L152*D152</f>
        <v>8221500</v>
      </c>
    </row>
    <row r="153" spans="1:16" ht="15.75" x14ac:dyDescent="0.25">
      <c r="A153" s="12">
        <v>3</v>
      </c>
      <c r="B153" s="171" t="s">
        <v>1337</v>
      </c>
      <c r="C153" s="170"/>
      <c r="D153" s="14"/>
      <c r="E153" s="14"/>
      <c r="F153" s="14"/>
      <c r="G153" s="14"/>
      <c r="H153" s="14">
        <f>H151</f>
        <v>157.80625000000001</v>
      </c>
      <c r="I153" s="14"/>
      <c r="J153" s="219" t="str">
        <f t="shared" ref="J153:L153" si="12">J33</f>
        <v>m2</v>
      </c>
      <c r="K153" s="219" t="str">
        <f t="shared" si="12"/>
        <v>Rp</v>
      </c>
      <c r="L153" s="219">
        <f t="shared" si="12"/>
        <v>32400</v>
      </c>
      <c r="M153" s="56" t="s">
        <v>15</v>
      </c>
      <c r="N153" s="15">
        <f>L153*H153</f>
        <v>5112922.5</v>
      </c>
    </row>
    <row r="154" spans="1:16" ht="15.75" x14ac:dyDescent="0.25">
      <c r="A154" s="21"/>
      <c r="B154" s="155"/>
      <c r="C154" s="156"/>
      <c r="D154" s="24"/>
      <c r="E154" s="24"/>
      <c r="F154" s="24"/>
      <c r="G154" s="24"/>
      <c r="H154" s="24"/>
      <c r="I154" s="24"/>
      <c r="J154" s="22"/>
      <c r="K154" s="54" t="s">
        <v>183</v>
      </c>
      <c r="L154" s="54"/>
      <c r="M154" s="54" t="s">
        <v>15</v>
      </c>
      <c r="N154" s="55">
        <f>SUM(N150:N153)</f>
        <v>21272076.875</v>
      </c>
    </row>
    <row r="155" spans="1:16" ht="15.75" x14ac:dyDescent="0.25">
      <c r="A155" s="79"/>
      <c r="B155" s="158"/>
      <c r="C155" s="174"/>
      <c r="D155" s="14"/>
      <c r="E155" s="14"/>
      <c r="F155" s="14"/>
      <c r="G155" s="14"/>
      <c r="H155" s="14"/>
      <c r="I155" s="14"/>
      <c r="J155" s="13"/>
      <c r="K155" s="13"/>
      <c r="L155" s="13"/>
      <c r="M155" s="13"/>
      <c r="N155" s="15"/>
    </row>
    <row r="156" spans="1:16" ht="15.75" x14ac:dyDescent="0.25">
      <c r="A156" s="78" t="s">
        <v>23</v>
      </c>
      <c r="B156" s="162" t="s">
        <v>120</v>
      </c>
      <c r="C156" s="152"/>
      <c r="D156" s="14"/>
      <c r="E156" s="14"/>
      <c r="F156" s="14"/>
      <c r="G156" s="14"/>
      <c r="H156" s="14"/>
      <c r="I156" s="14"/>
      <c r="J156" s="13"/>
      <c r="K156" s="13"/>
      <c r="L156" s="13"/>
      <c r="M156" s="13"/>
      <c r="N156" s="15"/>
    </row>
    <row r="157" spans="1:16" ht="15.75" x14ac:dyDescent="0.25">
      <c r="A157" s="12">
        <v>1</v>
      </c>
      <c r="B157" s="171" t="s">
        <v>164</v>
      </c>
      <c r="C157" s="170"/>
      <c r="D157" s="14">
        <f>(D42+D43)*2.5</f>
        <v>37.5</v>
      </c>
      <c r="E157" s="14"/>
      <c r="F157" s="14"/>
      <c r="G157" s="14"/>
      <c r="H157" s="14"/>
      <c r="I157" s="14"/>
      <c r="J157" s="13" t="s">
        <v>16</v>
      </c>
      <c r="K157" s="56" t="s">
        <v>15</v>
      </c>
      <c r="L157" s="13">
        <f>AHSP!I405</f>
        <v>255000</v>
      </c>
      <c r="M157" s="56" t="s">
        <v>15</v>
      </c>
      <c r="N157" s="15">
        <f>L157*D157</f>
        <v>9562500</v>
      </c>
    </row>
    <row r="158" spans="1:16" ht="15.75" x14ac:dyDescent="0.25">
      <c r="A158" s="12">
        <v>2</v>
      </c>
      <c r="B158" s="171" t="s">
        <v>165</v>
      </c>
      <c r="C158" s="170"/>
      <c r="D158" s="14">
        <f>E16</f>
        <v>69.924000000000007</v>
      </c>
      <c r="E158" s="14"/>
      <c r="F158" s="14"/>
      <c r="G158" s="14"/>
      <c r="H158" s="14"/>
      <c r="I158" s="14"/>
      <c r="J158" s="13" t="s">
        <v>16</v>
      </c>
      <c r="K158" s="56" t="s">
        <v>15</v>
      </c>
      <c r="L158" s="13">
        <f>AHSP!I428</f>
        <v>269300</v>
      </c>
      <c r="M158" s="56" t="s">
        <v>15</v>
      </c>
      <c r="N158" s="15">
        <f>L158*D158</f>
        <v>18830533.200000003</v>
      </c>
    </row>
    <row r="159" spans="1:16" ht="15.75" x14ac:dyDescent="0.25">
      <c r="A159" s="21"/>
      <c r="B159" s="155"/>
      <c r="C159" s="156"/>
      <c r="D159" s="24"/>
      <c r="E159" s="24"/>
      <c r="F159" s="24"/>
      <c r="G159" s="24"/>
      <c r="H159" s="24"/>
      <c r="I159" s="24"/>
      <c r="J159" s="22"/>
      <c r="K159" s="54" t="s">
        <v>184</v>
      </c>
      <c r="L159" s="54"/>
      <c r="M159" s="54" t="s">
        <v>15</v>
      </c>
      <c r="N159" s="55">
        <f>SUM(N156:N158)</f>
        <v>28393033.200000003</v>
      </c>
    </row>
    <row r="160" spans="1:16" ht="15.75" x14ac:dyDescent="0.25">
      <c r="A160" s="79"/>
      <c r="B160" s="158"/>
      <c r="C160" s="174"/>
      <c r="D160" s="14"/>
      <c r="E160" s="14"/>
      <c r="F160" s="14"/>
      <c r="G160" s="14"/>
      <c r="H160" s="14"/>
      <c r="I160" s="14"/>
      <c r="J160" s="13"/>
      <c r="K160" s="13"/>
      <c r="L160" s="13"/>
      <c r="M160" s="13"/>
      <c r="N160" s="15"/>
    </row>
    <row r="161" spans="1:14" ht="15.75" x14ac:dyDescent="0.25">
      <c r="A161" s="78" t="s">
        <v>27</v>
      </c>
      <c r="B161" s="162" t="s">
        <v>57</v>
      </c>
      <c r="C161" s="152"/>
      <c r="D161" s="14"/>
      <c r="E161" s="14"/>
      <c r="F161" s="14"/>
      <c r="G161" s="14"/>
      <c r="H161" s="14"/>
      <c r="I161" s="14"/>
      <c r="J161" s="13"/>
      <c r="K161" s="13"/>
      <c r="L161" s="13"/>
      <c r="M161" s="13"/>
      <c r="N161" s="15"/>
    </row>
    <row r="162" spans="1:14" ht="15.75" x14ac:dyDescent="0.25">
      <c r="A162" s="12">
        <v>1</v>
      </c>
      <c r="B162" s="171" t="s">
        <v>58</v>
      </c>
      <c r="C162" s="170"/>
      <c r="D162" s="14"/>
      <c r="E162" s="14"/>
      <c r="F162" s="14"/>
      <c r="G162" s="14">
        <v>0.1</v>
      </c>
      <c r="H162" s="14">
        <f>H163</f>
        <v>44.64</v>
      </c>
      <c r="I162" s="14">
        <f>H162*G162</f>
        <v>4.4640000000000004</v>
      </c>
      <c r="J162" s="13" t="str">
        <f>J56</f>
        <v>m3</v>
      </c>
      <c r="K162" s="13" t="str">
        <f t="shared" ref="K162:L162" si="13">K56</f>
        <v>Rp</v>
      </c>
      <c r="L162" s="13">
        <f t="shared" si="13"/>
        <v>348100</v>
      </c>
      <c r="M162" s="56" t="s">
        <v>15</v>
      </c>
      <c r="N162" s="15">
        <f>L162*I162</f>
        <v>1553918.4000000001</v>
      </c>
    </row>
    <row r="163" spans="1:14" ht="15.75" x14ac:dyDescent="0.25">
      <c r="A163" s="12">
        <v>2</v>
      </c>
      <c r="B163" s="171" t="s">
        <v>121</v>
      </c>
      <c r="C163" s="170"/>
      <c r="D163" s="14"/>
      <c r="E163" s="14"/>
      <c r="F163" s="14"/>
      <c r="G163" s="14"/>
      <c r="H163" s="14">
        <v>44.64</v>
      </c>
      <c r="I163" s="14"/>
      <c r="J163" s="13" t="str">
        <f t="shared" ref="J163:L163" si="14">J57</f>
        <v>m2</v>
      </c>
      <c r="K163" s="13" t="str">
        <f t="shared" si="14"/>
        <v>Rp</v>
      </c>
      <c r="L163" s="13">
        <f t="shared" si="14"/>
        <v>329300</v>
      </c>
      <c r="M163" s="56" t="s">
        <v>15</v>
      </c>
      <c r="N163" s="15">
        <f>L163*H163</f>
        <v>14699952</v>
      </c>
    </row>
    <row r="164" spans="1:14" ht="15.75" x14ac:dyDescent="0.25">
      <c r="A164" s="12">
        <v>3</v>
      </c>
      <c r="B164" s="171" t="s">
        <v>60</v>
      </c>
      <c r="C164" s="170"/>
      <c r="D164" s="14"/>
      <c r="E164" s="14">
        <f>40.65+6.5*2</f>
        <v>53.65</v>
      </c>
      <c r="F164" s="14"/>
      <c r="G164" s="14"/>
      <c r="H164" s="14"/>
      <c r="I164" s="14"/>
      <c r="J164" s="13" t="str">
        <f t="shared" ref="J164:L164" si="15">J58</f>
        <v>m'</v>
      </c>
      <c r="K164" s="13" t="str">
        <f t="shared" si="15"/>
        <v>Rp</v>
      </c>
      <c r="L164" s="13">
        <f t="shared" si="15"/>
        <v>111900</v>
      </c>
      <c r="M164" s="56" t="s">
        <v>15</v>
      </c>
      <c r="N164" s="15">
        <f>L164*E164</f>
        <v>6003435</v>
      </c>
    </row>
    <row r="165" spans="1:14" ht="15.75" x14ac:dyDescent="0.25">
      <c r="A165" s="12"/>
      <c r="B165" s="151" t="s">
        <v>61</v>
      </c>
      <c r="C165" s="152"/>
      <c r="D165" s="14"/>
      <c r="E165" s="14"/>
      <c r="F165" s="14"/>
      <c r="G165" s="14"/>
      <c r="H165" s="14"/>
      <c r="I165" s="14"/>
      <c r="J165" s="13">
        <f t="shared" ref="J165:L165" si="16">J59</f>
        <v>0</v>
      </c>
      <c r="K165" s="13">
        <f t="shared" si="16"/>
        <v>0</v>
      </c>
      <c r="L165" s="13">
        <f t="shared" si="16"/>
        <v>0</v>
      </c>
      <c r="M165" s="56"/>
      <c r="N165" s="15"/>
    </row>
    <row r="166" spans="1:14" ht="15.75" x14ac:dyDescent="0.25">
      <c r="A166" s="12">
        <v>4</v>
      </c>
      <c r="B166" s="171" t="s">
        <v>62</v>
      </c>
      <c r="C166" s="170"/>
      <c r="D166" s="14"/>
      <c r="E166" s="14"/>
      <c r="F166" s="14"/>
      <c r="G166" s="14"/>
      <c r="H166" s="14">
        <v>4.7249999999999996</v>
      </c>
      <c r="I166" s="14"/>
      <c r="J166" s="13" t="str">
        <f t="shared" ref="J166:L166" si="17">J60</f>
        <v>m2</v>
      </c>
      <c r="K166" s="13" t="str">
        <f t="shared" si="17"/>
        <v>Rp</v>
      </c>
      <c r="L166" s="13">
        <f t="shared" si="17"/>
        <v>279200</v>
      </c>
      <c r="M166" s="56" t="s">
        <v>15</v>
      </c>
      <c r="N166" s="15">
        <f>L166*H166</f>
        <v>1319220</v>
      </c>
    </row>
    <row r="167" spans="1:14" ht="15.75" x14ac:dyDescent="0.25">
      <c r="A167" s="12">
        <v>5</v>
      </c>
      <c r="B167" s="171" t="s">
        <v>122</v>
      </c>
      <c r="C167" s="170"/>
      <c r="D167" s="14"/>
      <c r="E167" s="14"/>
      <c r="F167" s="14"/>
      <c r="G167" s="14"/>
      <c r="H167" s="14">
        <f>8.7*2.5</f>
        <v>21.75</v>
      </c>
      <c r="I167" s="14"/>
      <c r="J167" s="13" t="str">
        <f t="shared" ref="J167:L167" si="18">J61</f>
        <v>m2</v>
      </c>
      <c r="K167" s="13" t="str">
        <f t="shared" si="18"/>
        <v>Rp</v>
      </c>
      <c r="L167" s="13">
        <f t="shared" si="18"/>
        <v>321080</v>
      </c>
      <c r="M167" s="56" t="s">
        <v>15</v>
      </c>
      <c r="N167" s="15">
        <f>L167*H167</f>
        <v>6983490</v>
      </c>
    </row>
    <row r="168" spans="1:14" ht="15.75" x14ac:dyDescent="0.25">
      <c r="A168" s="12">
        <v>6</v>
      </c>
      <c r="B168" s="171" t="s">
        <v>60</v>
      </c>
      <c r="C168" s="170"/>
      <c r="D168" s="14"/>
      <c r="E168" s="14">
        <v>8.6999999999999993</v>
      </c>
      <c r="F168" s="14"/>
      <c r="G168" s="14"/>
      <c r="H168" s="14"/>
      <c r="I168" s="14"/>
      <c r="J168" s="13" t="str">
        <f t="shared" ref="J168:L168" si="19">J62</f>
        <v>m'</v>
      </c>
      <c r="K168" s="13" t="str">
        <f t="shared" si="19"/>
        <v>Rp</v>
      </c>
      <c r="L168" s="13">
        <f t="shared" si="19"/>
        <v>103100</v>
      </c>
      <c r="M168" s="56" t="s">
        <v>15</v>
      </c>
      <c r="N168" s="15">
        <f>L168*E168</f>
        <v>896969.99999999988</v>
      </c>
    </row>
    <row r="169" spans="1:14" ht="15.75" x14ac:dyDescent="0.25">
      <c r="A169" s="21"/>
      <c r="B169" s="155"/>
      <c r="C169" s="156"/>
      <c r="D169" s="24"/>
      <c r="E169" s="24"/>
      <c r="F169" s="24"/>
      <c r="G169" s="24"/>
      <c r="H169" s="24"/>
      <c r="I169" s="24"/>
      <c r="J169" s="22"/>
      <c r="K169" s="54" t="s">
        <v>185</v>
      </c>
      <c r="L169" s="54"/>
      <c r="M169" s="54" t="s">
        <v>15</v>
      </c>
      <c r="N169" s="55">
        <f>SUM(N162:N168)</f>
        <v>31456985.399999999</v>
      </c>
    </row>
    <row r="170" spans="1:14" ht="15.75" x14ac:dyDescent="0.25">
      <c r="A170" s="79"/>
      <c r="B170" s="158"/>
      <c r="C170" s="174"/>
      <c r="D170" s="14"/>
      <c r="E170" s="14"/>
      <c r="F170" s="14"/>
      <c r="G170" s="14"/>
      <c r="H170" s="14"/>
      <c r="I170" s="14"/>
      <c r="J170" s="13"/>
      <c r="K170" s="13"/>
      <c r="L170" s="13"/>
      <c r="M170" s="13"/>
      <c r="N170" s="15"/>
    </row>
    <row r="171" spans="1:14" ht="15.75" x14ac:dyDescent="0.25">
      <c r="A171" s="78" t="s">
        <v>30</v>
      </c>
      <c r="B171" s="162" t="s">
        <v>40</v>
      </c>
      <c r="C171" s="152"/>
      <c r="D171" s="14"/>
      <c r="E171" s="14"/>
      <c r="F171" s="14"/>
      <c r="G171" s="14"/>
      <c r="H171" s="14"/>
      <c r="I171" s="14"/>
      <c r="J171" s="13"/>
      <c r="K171" s="13"/>
      <c r="L171" s="13"/>
      <c r="M171" s="13"/>
      <c r="N171" s="15"/>
    </row>
    <row r="172" spans="1:14" ht="15.75" x14ac:dyDescent="0.25">
      <c r="A172" s="12">
        <v>1</v>
      </c>
      <c r="B172" s="171" t="s">
        <v>123</v>
      </c>
      <c r="C172" s="170"/>
      <c r="D172" s="14"/>
      <c r="E172" s="14"/>
      <c r="F172" s="14"/>
      <c r="G172" s="14"/>
      <c r="H172" s="14"/>
      <c r="I172" s="14"/>
      <c r="J172" s="13" t="s">
        <v>46</v>
      </c>
      <c r="K172" s="56" t="s">
        <v>15</v>
      </c>
      <c r="L172" s="13">
        <f>AHSP!I611</f>
        <v>2093700</v>
      </c>
      <c r="M172" s="56" t="s">
        <v>15</v>
      </c>
      <c r="N172" s="15"/>
    </row>
    <row r="173" spans="1:14" ht="15.75" x14ac:dyDescent="0.25">
      <c r="A173" s="12">
        <v>2</v>
      </c>
      <c r="B173" s="171" t="s">
        <v>69</v>
      </c>
      <c r="C173" s="170"/>
      <c r="D173" s="14"/>
      <c r="E173" s="14"/>
      <c r="F173" s="14"/>
      <c r="G173" s="14"/>
      <c r="H173" s="14"/>
      <c r="I173" s="14"/>
      <c r="J173" s="13" t="s">
        <v>46</v>
      </c>
      <c r="K173" s="56" t="s">
        <v>15</v>
      </c>
      <c r="L173" s="13">
        <f>VLOOKUP($B173,$B$69:$L$79,11,0)</f>
        <v>2570500</v>
      </c>
      <c r="M173" s="56" t="s">
        <v>15</v>
      </c>
      <c r="N173" s="15"/>
    </row>
    <row r="174" spans="1:14" ht="15.75" x14ac:dyDescent="0.25">
      <c r="A174" s="12">
        <v>3</v>
      </c>
      <c r="B174" s="171" t="s">
        <v>73</v>
      </c>
      <c r="C174" s="170"/>
      <c r="D174" s="14"/>
      <c r="E174" s="14"/>
      <c r="F174" s="14"/>
      <c r="G174" s="14"/>
      <c r="H174" s="14"/>
      <c r="I174" s="14"/>
      <c r="J174" s="13" t="s">
        <v>46</v>
      </c>
      <c r="K174" s="56" t="s">
        <v>15</v>
      </c>
      <c r="L174" s="13">
        <f>VLOOKUP($B174,$B$69:$L$79,11,0)</f>
        <v>814500</v>
      </c>
      <c r="M174" s="56" t="s">
        <v>15</v>
      </c>
      <c r="N174" s="15"/>
    </row>
    <row r="175" spans="1:14" ht="15.75" x14ac:dyDescent="0.25">
      <c r="A175" s="12">
        <v>4</v>
      </c>
      <c r="B175" s="171" t="s">
        <v>124</v>
      </c>
      <c r="C175" s="170"/>
      <c r="D175" s="14"/>
      <c r="E175" s="14"/>
      <c r="F175" s="14"/>
      <c r="G175" s="14"/>
      <c r="H175" s="14"/>
      <c r="I175" s="14"/>
      <c r="J175" s="13" t="s">
        <v>46</v>
      </c>
      <c r="K175" s="56" t="s">
        <v>15</v>
      </c>
      <c r="L175" s="13">
        <f>AHSP!I628</f>
        <v>2358700</v>
      </c>
      <c r="M175" s="56" t="s">
        <v>15</v>
      </c>
      <c r="N175" s="15"/>
    </row>
    <row r="176" spans="1:14" ht="15.75" x14ac:dyDescent="0.25">
      <c r="A176" s="12">
        <v>5</v>
      </c>
      <c r="B176" s="171" t="s">
        <v>125</v>
      </c>
      <c r="C176" s="170"/>
      <c r="D176" s="14"/>
      <c r="E176" s="14"/>
      <c r="F176" s="14"/>
      <c r="G176" s="14"/>
      <c r="H176" s="14"/>
      <c r="I176" s="14"/>
      <c r="J176" s="13" t="s">
        <v>46</v>
      </c>
      <c r="K176" s="56" t="s">
        <v>15</v>
      </c>
      <c r="L176" s="13">
        <f>AHSP!I644</f>
        <v>2570500</v>
      </c>
      <c r="M176" s="56" t="s">
        <v>15</v>
      </c>
      <c r="N176" s="15"/>
    </row>
    <row r="177" spans="1:14" ht="15.75" x14ac:dyDescent="0.25">
      <c r="A177" s="12">
        <v>6</v>
      </c>
      <c r="B177" s="171" t="s">
        <v>126</v>
      </c>
      <c r="C177" s="170"/>
      <c r="D177" s="14"/>
      <c r="E177" s="14"/>
      <c r="F177" s="14"/>
      <c r="G177" s="14"/>
      <c r="H177" s="14"/>
      <c r="I177" s="14"/>
      <c r="J177" s="13" t="s">
        <v>46</v>
      </c>
      <c r="K177" s="56" t="s">
        <v>15</v>
      </c>
      <c r="L177" s="13">
        <f>L174*85%</f>
        <v>692325</v>
      </c>
      <c r="M177" s="56" t="s">
        <v>15</v>
      </c>
      <c r="N177" s="15"/>
    </row>
    <row r="178" spans="1:14" ht="15.75" x14ac:dyDescent="0.25">
      <c r="A178" s="21"/>
      <c r="B178" s="155"/>
      <c r="C178" s="156"/>
      <c r="D178" s="24"/>
      <c r="E178" s="24"/>
      <c r="F178" s="24"/>
      <c r="G178" s="24"/>
      <c r="H178" s="24"/>
      <c r="I178" s="24"/>
      <c r="J178" s="22"/>
      <c r="K178" s="54" t="s">
        <v>176</v>
      </c>
      <c r="L178" s="54"/>
      <c r="M178" s="54" t="s">
        <v>15</v>
      </c>
      <c r="N178" s="55">
        <f>SUM(N171:N177)</f>
        <v>0</v>
      </c>
    </row>
    <row r="179" spans="1:14" ht="15.75" x14ac:dyDescent="0.25">
      <c r="A179" s="79"/>
      <c r="B179" s="158"/>
      <c r="C179" s="174"/>
      <c r="D179" s="14"/>
      <c r="E179" s="14"/>
      <c r="F179" s="14"/>
      <c r="G179" s="14"/>
      <c r="H179" s="14"/>
      <c r="I179" s="14"/>
      <c r="J179" s="13"/>
      <c r="K179" s="13"/>
      <c r="L179" s="13"/>
      <c r="M179" s="13"/>
      <c r="N179" s="15"/>
    </row>
    <row r="180" spans="1:14" ht="15.75" x14ac:dyDescent="0.25">
      <c r="A180" s="78" t="s">
        <v>31</v>
      </c>
      <c r="B180" s="162" t="s">
        <v>40</v>
      </c>
      <c r="C180" s="152"/>
      <c r="D180" s="14"/>
      <c r="E180" s="14"/>
      <c r="F180" s="14"/>
      <c r="G180" s="14"/>
      <c r="H180" s="14"/>
      <c r="I180" s="14"/>
      <c r="J180" s="13"/>
      <c r="K180" s="13"/>
      <c r="L180" s="13"/>
      <c r="M180" s="13"/>
      <c r="N180" s="15"/>
    </row>
    <row r="181" spans="1:14" ht="15.75" x14ac:dyDescent="0.25">
      <c r="A181" s="12">
        <v>1</v>
      </c>
      <c r="B181" s="171" t="s">
        <v>166</v>
      </c>
      <c r="C181" s="170"/>
      <c r="D181" s="14"/>
      <c r="E181" s="14"/>
      <c r="F181" s="14"/>
      <c r="G181" s="14"/>
      <c r="H181" s="14">
        <v>55.612000000000002</v>
      </c>
      <c r="I181" s="14"/>
      <c r="J181" s="13" t="str">
        <f>J83</f>
        <v>m2</v>
      </c>
      <c r="K181" s="13" t="str">
        <f t="shared" ref="K181:L182" si="20">K83</f>
        <v>Rp</v>
      </c>
      <c r="L181" s="13">
        <f t="shared" si="20"/>
        <v>42700</v>
      </c>
      <c r="M181" s="56" t="s">
        <v>15</v>
      </c>
      <c r="N181" s="15">
        <f>L181*H181</f>
        <v>2374632.4</v>
      </c>
    </row>
    <row r="182" spans="1:14" ht="15.75" x14ac:dyDescent="0.25">
      <c r="A182" s="12">
        <v>2</v>
      </c>
      <c r="B182" s="171" t="s">
        <v>167</v>
      </c>
      <c r="C182" s="170"/>
      <c r="D182" s="14"/>
      <c r="E182" s="14"/>
      <c r="F182" s="14"/>
      <c r="G182" s="14"/>
      <c r="H182" s="14">
        <f>H181</f>
        <v>55.612000000000002</v>
      </c>
      <c r="I182" s="14"/>
      <c r="J182" s="13" t="str">
        <f>J84</f>
        <v>m2</v>
      </c>
      <c r="K182" s="13" t="str">
        <f t="shared" si="20"/>
        <v>Rp</v>
      </c>
      <c r="L182" s="13">
        <f t="shared" si="20"/>
        <v>42900</v>
      </c>
      <c r="M182" s="56" t="s">
        <v>15</v>
      </c>
      <c r="N182" s="15">
        <f>L182*H182</f>
        <v>2385754.8000000003</v>
      </c>
    </row>
    <row r="183" spans="1:14" ht="15.75" x14ac:dyDescent="0.25">
      <c r="A183" s="21"/>
      <c r="B183" s="155"/>
      <c r="C183" s="156"/>
      <c r="D183" s="24"/>
      <c r="E183" s="24"/>
      <c r="F183" s="24"/>
      <c r="G183" s="24"/>
      <c r="H183" s="24"/>
      <c r="I183" s="24"/>
      <c r="J183" s="22"/>
      <c r="K183" s="54" t="s">
        <v>34</v>
      </c>
      <c r="L183" s="54"/>
      <c r="M183" s="54" t="s">
        <v>15</v>
      </c>
      <c r="N183" s="55">
        <f>SUM(N180:N182)</f>
        <v>4760387.2</v>
      </c>
    </row>
    <row r="184" spans="1:14" ht="15.75" x14ac:dyDescent="0.25">
      <c r="A184" s="79"/>
      <c r="B184" s="158"/>
      <c r="C184" s="174"/>
      <c r="D184" s="14"/>
      <c r="E184" s="14"/>
      <c r="F184" s="14"/>
      <c r="G184" s="14"/>
      <c r="H184" s="14"/>
      <c r="I184" s="14"/>
      <c r="J184" s="13"/>
      <c r="K184" s="13"/>
      <c r="L184" s="13"/>
      <c r="M184" s="13"/>
      <c r="N184" s="15"/>
    </row>
    <row r="185" spans="1:14" ht="15.75" x14ac:dyDescent="0.25">
      <c r="A185" s="78" t="s">
        <v>35</v>
      </c>
      <c r="B185" s="162" t="s">
        <v>127</v>
      </c>
      <c r="C185" s="152"/>
      <c r="D185" s="14"/>
      <c r="E185" s="14"/>
      <c r="F185" s="14"/>
      <c r="G185" s="14"/>
      <c r="H185" s="14"/>
      <c r="I185" s="14"/>
      <c r="J185" s="13"/>
      <c r="K185" s="13"/>
      <c r="L185" s="13"/>
      <c r="M185" s="13"/>
      <c r="N185" s="15"/>
    </row>
    <row r="186" spans="1:14" ht="15.75" x14ac:dyDescent="0.25">
      <c r="A186" s="12">
        <v>1</v>
      </c>
      <c r="B186" s="171" t="s">
        <v>168</v>
      </c>
      <c r="C186" s="170"/>
      <c r="D186" s="14"/>
      <c r="E186" s="14"/>
      <c r="F186" s="14"/>
      <c r="G186" s="14"/>
      <c r="H186" s="14">
        <f>65.972*130%</f>
        <v>85.763599999999997</v>
      </c>
      <c r="I186" s="14"/>
      <c r="J186" s="13" t="s">
        <v>14</v>
      </c>
      <c r="K186" s="56" t="s">
        <v>15</v>
      </c>
      <c r="L186" s="13">
        <f>AHSP!I1412</f>
        <v>200200</v>
      </c>
      <c r="M186" s="56" t="s">
        <v>15</v>
      </c>
      <c r="N186" s="15">
        <f>L186*H186</f>
        <v>17169872.719999999</v>
      </c>
    </row>
    <row r="187" spans="1:14" ht="15.75" x14ac:dyDescent="0.25">
      <c r="A187" s="12">
        <v>2</v>
      </c>
      <c r="B187" s="171" t="s">
        <v>169</v>
      </c>
      <c r="C187" s="170"/>
      <c r="D187" s="14"/>
      <c r="E187" s="14"/>
      <c r="F187" s="14"/>
      <c r="G187" s="14"/>
      <c r="H187" s="14">
        <f>50.675*130%</f>
        <v>65.877499999999998</v>
      </c>
      <c r="I187" s="14"/>
      <c r="J187" s="13" t="s">
        <v>14</v>
      </c>
      <c r="K187" s="56" t="s">
        <v>15</v>
      </c>
      <c r="L187" s="13">
        <f>AHSP!I1423</f>
        <v>114800</v>
      </c>
      <c r="M187" s="56" t="s">
        <v>15</v>
      </c>
      <c r="N187" s="15">
        <f>H187*L187</f>
        <v>7562737</v>
      </c>
    </row>
    <row r="188" spans="1:14" ht="15.75" x14ac:dyDescent="0.25">
      <c r="A188" s="12">
        <v>3</v>
      </c>
      <c r="B188" s="171" t="s">
        <v>170</v>
      </c>
      <c r="C188" s="170"/>
      <c r="D188" s="14"/>
      <c r="E188" s="14">
        <v>6.43</v>
      </c>
      <c r="F188" s="14"/>
      <c r="G188" s="14"/>
      <c r="H188" s="14"/>
      <c r="I188" s="14"/>
      <c r="J188" s="13" t="s">
        <v>16</v>
      </c>
      <c r="K188" s="56" t="s">
        <v>15</v>
      </c>
      <c r="L188" s="13">
        <f>AHSP!I1436</f>
        <v>122000</v>
      </c>
      <c r="M188" s="56" t="s">
        <v>15</v>
      </c>
      <c r="N188" s="15">
        <f>L188*E188</f>
        <v>784460</v>
      </c>
    </row>
    <row r="189" spans="1:14" ht="15.75" x14ac:dyDescent="0.25">
      <c r="A189" s="12">
        <v>4</v>
      </c>
      <c r="B189" s="171" t="s">
        <v>171</v>
      </c>
      <c r="C189" s="170"/>
      <c r="D189" s="14"/>
      <c r="E189" s="14">
        <f>31.85*120%</f>
        <v>38.22</v>
      </c>
      <c r="F189" s="14"/>
      <c r="G189" s="14"/>
      <c r="H189" s="14"/>
      <c r="I189" s="14"/>
      <c r="J189" s="13" t="s">
        <v>16</v>
      </c>
      <c r="K189" s="56" t="s">
        <v>15</v>
      </c>
      <c r="L189" s="13">
        <f>AHSP!I1448</f>
        <v>44300</v>
      </c>
      <c r="M189" s="56" t="s">
        <v>15</v>
      </c>
      <c r="N189" s="15">
        <f>E189*L189</f>
        <v>1693146</v>
      </c>
    </row>
    <row r="190" spans="1:14" ht="15.75" x14ac:dyDescent="0.25">
      <c r="A190" s="21"/>
      <c r="B190" s="155"/>
      <c r="C190" s="156"/>
      <c r="D190" s="24"/>
      <c r="E190" s="24"/>
      <c r="F190" s="24"/>
      <c r="G190" s="24"/>
      <c r="H190" s="24"/>
      <c r="I190" s="24"/>
      <c r="J190" s="22"/>
      <c r="K190" s="54" t="s">
        <v>36</v>
      </c>
      <c r="L190" s="54"/>
      <c r="M190" s="54" t="s">
        <v>15</v>
      </c>
      <c r="N190" s="55">
        <f>SUM(N185:N189)</f>
        <v>27210215.719999999</v>
      </c>
    </row>
    <row r="191" spans="1:14" ht="15.75" x14ac:dyDescent="0.25">
      <c r="A191" s="78" t="s">
        <v>37</v>
      </c>
      <c r="B191" s="162" t="s">
        <v>128</v>
      </c>
      <c r="C191" s="152"/>
      <c r="D191" s="14"/>
      <c r="E191" s="14"/>
      <c r="F191" s="14"/>
      <c r="G191" s="14"/>
      <c r="H191" s="14"/>
      <c r="I191" s="14"/>
      <c r="J191" s="13"/>
      <c r="K191" s="13"/>
      <c r="L191" s="13"/>
      <c r="M191" s="13"/>
      <c r="N191" s="15"/>
    </row>
    <row r="192" spans="1:14" ht="15.75" x14ac:dyDescent="0.25">
      <c r="A192" s="12">
        <v>1</v>
      </c>
      <c r="B192" s="171" t="s">
        <v>172</v>
      </c>
      <c r="C192" s="170"/>
      <c r="D192" s="14"/>
      <c r="E192" s="14"/>
      <c r="F192" s="14"/>
      <c r="G192" s="14"/>
      <c r="H192" s="14">
        <f>H153</f>
        <v>157.80625000000001</v>
      </c>
      <c r="I192" s="14"/>
      <c r="J192" s="13" t="str">
        <f>J89</f>
        <v>m2</v>
      </c>
      <c r="K192" s="13" t="str">
        <f t="shared" ref="K192:L192" si="21">K89</f>
        <v>Rp</v>
      </c>
      <c r="L192" s="13">
        <f t="shared" si="21"/>
        <v>34400</v>
      </c>
      <c r="M192" s="56" t="s">
        <v>15</v>
      </c>
      <c r="N192" s="15">
        <f>L192*H192</f>
        <v>5428535</v>
      </c>
    </row>
    <row r="193" spans="1:14" ht="15.75" x14ac:dyDescent="0.25">
      <c r="A193" s="12">
        <v>2</v>
      </c>
      <c r="B193" s="171" t="s">
        <v>173</v>
      </c>
      <c r="C193" s="170"/>
      <c r="D193" s="14"/>
      <c r="E193" s="14"/>
      <c r="F193" s="14"/>
      <c r="G193" s="14"/>
      <c r="H193" s="14">
        <f>H90</f>
        <v>7.2</v>
      </c>
      <c r="I193" s="14"/>
      <c r="J193" s="13" t="str">
        <f t="shared" ref="J193:L193" si="22">J90</f>
        <v>m2</v>
      </c>
      <c r="K193" s="13" t="str">
        <f t="shared" si="22"/>
        <v>Rp</v>
      </c>
      <c r="L193" s="13">
        <f t="shared" si="22"/>
        <v>49300</v>
      </c>
      <c r="M193" s="56" t="s">
        <v>15</v>
      </c>
      <c r="N193" s="15">
        <f t="shared" ref="N193:N194" si="23">L193*H193</f>
        <v>354960</v>
      </c>
    </row>
    <row r="194" spans="1:14" ht="15.75" x14ac:dyDescent="0.25">
      <c r="A194" s="12">
        <v>3</v>
      </c>
      <c r="B194" s="171" t="s">
        <v>174</v>
      </c>
      <c r="C194" s="170"/>
      <c r="D194" s="14"/>
      <c r="E194" s="14"/>
      <c r="F194" s="14"/>
      <c r="G194" s="14"/>
      <c r="H194" s="14">
        <f>H182</f>
        <v>55.612000000000002</v>
      </c>
      <c r="I194" s="14"/>
      <c r="J194" s="13" t="str">
        <f t="shared" ref="J194:L194" si="24">J91</f>
        <v>m2</v>
      </c>
      <c r="K194" s="13" t="str">
        <f t="shared" si="24"/>
        <v>Rp</v>
      </c>
      <c r="L194" s="13">
        <f t="shared" si="24"/>
        <v>49500</v>
      </c>
      <c r="M194" s="56" t="s">
        <v>15</v>
      </c>
      <c r="N194" s="15">
        <f t="shared" si="23"/>
        <v>2752794</v>
      </c>
    </row>
    <row r="195" spans="1:14" ht="15.75" x14ac:dyDescent="0.25">
      <c r="A195" s="21"/>
      <c r="B195" s="155"/>
      <c r="C195" s="156"/>
      <c r="D195" s="24"/>
      <c r="E195" s="24"/>
      <c r="F195" s="24"/>
      <c r="G195" s="24"/>
      <c r="H195" s="24"/>
      <c r="I195" s="24"/>
      <c r="J195" s="22"/>
      <c r="K195" s="54" t="s">
        <v>178</v>
      </c>
      <c r="L195" s="54"/>
      <c r="M195" s="54" t="s">
        <v>15</v>
      </c>
      <c r="N195" s="55">
        <f>SUM(N192:N194)</f>
        <v>8536289</v>
      </c>
    </row>
    <row r="196" spans="1:14" ht="15.75" x14ac:dyDescent="0.25">
      <c r="A196" s="78" t="s">
        <v>39</v>
      </c>
      <c r="B196" s="162" t="s">
        <v>77</v>
      </c>
      <c r="C196" s="152"/>
      <c r="D196" s="14"/>
      <c r="E196" s="14"/>
      <c r="F196" s="14"/>
      <c r="G196" s="14"/>
      <c r="H196" s="14"/>
      <c r="I196" s="14"/>
      <c r="J196" s="13"/>
      <c r="K196" s="13"/>
      <c r="L196" s="13"/>
      <c r="M196" s="13"/>
      <c r="N196" s="15"/>
    </row>
    <row r="197" spans="1:14" ht="15.75" x14ac:dyDescent="0.25">
      <c r="A197" s="12">
        <v>1</v>
      </c>
      <c r="B197" s="171" t="s">
        <v>79</v>
      </c>
      <c r="C197" s="170"/>
      <c r="D197" s="14"/>
      <c r="E197" s="14"/>
      <c r="F197" s="14"/>
      <c r="G197" s="14"/>
      <c r="H197" s="14"/>
      <c r="I197" s="14"/>
      <c r="J197" s="13" t="str">
        <f>J95</f>
        <v>titik</v>
      </c>
      <c r="K197" s="13" t="str">
        <f t="shared" ref="K197:L197" si="25">K95</f>
        <v>Rp</v>
      </c>
      <c r="L197" s="13">
        <f t="shared" si="25"/>
        <v>641600</v>
      </c>
      <c r="M197" s="56" t="s">
        <v>15</v>
      </c>
      <c r="N197" s="15"/>
    </row>
    <row r="198" spans="1:14" ht="15.75" x14ac:dyDescent="0.25">
      <c r="A198" s="12">
        <v>2</v>
      </c>
      <c r="B198" s="171" t="s">
        <v>81</v>
      </c>
      <c r="C198" s="170"/>
      <c r="D198" s="14"/>
      <c r="E198" s="14"/>
      <c r="F198" s="14"/>
      <c r="G198" s="14"/>
      <c r="H198" s="14"/>
      <c r="I198" s="14"/>
      <c r="J198" s="13" t="str">
        <f t="shared" ref="J198:L198" si="26">J96</f>
        <v>titik</v>
      </c>
      <c r="K198" s="13" t="str">
        <f t="shared" si="26"/>
        <v>Rp</v>
      </c>
      <c r="L198" s="13">
        <f t="shared" si="26"/>
        <v>205800</v>
      </c>
      <c r="M198" s="56" t="s">
        <v>15</v>
      </c>
      <c r="N198" s="15"/>
    </row>
    <row r="199" spans="1:14" ht="15.75" x14ac:dyDescent="0.25">
      <c r="A199" s="12">
        <v>3</v>
      </c>
      <c r="B199" s="171" t="s">
        <v>83</v>
      </c>
      <c r="C199" s="170"/>
      <c r="D199" s="14"/>
      <c r="E199" s="14"/>
      <c r="F199" s="14"/>
      <c r="G199" s="14"/>
      <c r="H199" s="14"/>
      <c r="I199" s="14"/>
      <c r="J199" s="13" t="str">
        <f t="shared" ref="J199:K199" si="27">J100</f>
        <v>titik</v>
      </c>
      <c r="K199" s="13" t="str">
        <f t="shared" si="27"/>
        <v>Rp</v>
      </c>
      <c r="L199" s="13">
        <f>L100</f>
        <v>1018800</v>
      </c>
      <c r="M199" s="56" t="s">
        <v>15</v>
      </c>
      <c r="N199" s="15"/>
    </row>
    <row r="200" spans="1:14" ht="15.75" x14ac:dyDescent="0.25">
      <c r="A200" s="12">
        <v>4</v>
      </c>
      <c r="B200" s="171" t="s">
        <v>84</v>
      </c>
      <c r="C200" s="170"/>
      <c r="D200" s="14"/>
      <c r="E200" s="14"/>
      <c r="F200" s="14"/>
      <c r="G200" s="14"/>
      <c r="H200" s="14"/>
      <c r="I200" s="14"/>
      <c r="J200" s="13" t="str">
        <f t="shared" ref="J200:L200" si="28">J101</f>
        <v>titik</v>
      </c>
      <c r="K200" s="13" t="str">
        <f t="shared" si="28"/>
        <v>Rp</v>
      </c>
      <c r="L200" s="13">
        <f t="shared" si="28"/>
        <v>165000</v>
      </c>
      <c r="M200" s="56" t="s">
        <v>15</v>
      </c>
      <c r="N200" s="15"/>
    </row>
    <row r="201" spans="1:14" ht="15.75" x14ac:dyDescent="0.25">
      <c r="A201" s="12">
        <v>5</v>
      </c>
      <c r="B201" s="171" t="s">
        <v>85</v>
      </c>
      <c r="C201" s="170"/>
      <c r="D201" s="14"/>
      <c r="E201" s="14"/>
      <c r="F201" s="14"/>
      <c r="G201" s="14"/>
      <c r="H201" s="14"/>
      <c r="I201" s="14"/>
      <c r="J201" s="13" t="str">
        <f t="shared" ref="J201:L201" si="29">J102</f>
        <v>titik</v>
      </c>
      <c r="K201" s="13" t="str">
        <f t="shared" si="29"/>
        <v>Rp</v>
      </c>
      <c r="L201" s="13">
        <f t="shared" si="29"/>
        <v>173600</v>
      </c>
      <c r="M201" s="56" t="s">
        <v>15</v>
      </c>
      <c r="N201" s="15"/>
    </row>
    <row r="202" spans="1:14" ht="15.75" x14ac:dyDescent="0.25">
      <c r="A202" s="12">
        <v>6</v>
      </c>
      <c r="B202" s="171" t="s">
        <v>86</v>
      </c>
      <c r="C202" s="170"/>
      <c r="D202" s="14"/>
      <c r="E202" s="14"/>
      <c r="F202" s="14"/>
      <c r="G202" s="14"/>
      <c r="H202" s="14"/>
      <c r="I202" s="14"/>
      <c r="J202" s="13" t="str">
        <f t="shared" ref="J202:L202" si="30">J103</f>
        <v>titik</v>
      </c>
      <c r="K202" s="13" t="str">
        <f t="shared" si="30"/>
        <v>Rp</v>
      </c>
      <c r="L202" s="13">
        <f t="shared" si="30"/>
        <v>181100</v>
      </c>
      <c r="M202" s="56" t="s">
        <v>15</v>
      </c>
      <c r="N202" s="15"/>
    </row>
    <row r="203" spans="1:14" ht="15.75" x14ac:dyDescent="0.25">
      <c r="A203" s="12">
        <v>7</v>
      </c>
      <c r="B203" s="171" t="s">
        <v>87</v>
      </c>
      <c r="C203" s="170"/>
      <c r="D203" s="14"/>
      <c r="E203" s="14"/>
      <c r="F203" s="14"/>
      <c r="G203" s="14"/>
      <c r="H203" s="14"/>
      <c r="I203" s="14"/>
      <c r="J203" s="13" t="str">
        <f t="shared" ref="J203:L203" si="31">J104</f>
        <v>titik</v>
      </c>
      <c r="K203" s="13" t="str">
        <f t="shared" si="31"/>
        <v>Rp</v>
      </c>
      <c r="L203" s="13">
        <f t="shared" si="31"/>
        <v>185700</v>
      </c>
      <c r="M203" s="56" t="s">
        <v>15</v>
      </c>
      <c r="N203" s="15"/>
    </row>
    <row r="204" spans="1:14" ht="15.75" x14ac:dyDescent="0.25">
      <c r="A204" s="12">
        <v>8</v>
      </c>
      <c r="B204" s="171" t="s">
        <v>88</v>
      </c>
      <c r="C204" s="170"/>
      <c r="D204" s="14"/>
      <c r="E204" s="14"/>
      <c r="F204" s="14"/>
      <c r="G204" s="14"/>
      <c r="H204" s="14"/>
      <c r="I204" s="14"/>
      <c r="J204" s="13" t="str">
        <f t="shared" ref="J204:L204" si="32">J105</f>
        <v>titik</v>
      </c>
      <c r="K204" s="13" t="str">
        <f t="shared" si="32"/>
        <v>Rp</v>
      </c>
      <c r="L204" s="13">
        <f t="shared" si="32"/>
        <v>199100</v>
      </c>
      <c r="M204" s="56" t="s">
        <v>15</v>
      </c>
      <c r="N204" s="15"/>
    </row>
    <row r="205" spans="1:14" ht="15.75" x14ac:dyDescent="0.25">
      <c r="A205" s="12">
        <v>9</v>
      </c>
      <c r="B205" s="171" t="s">
        <v>89</v>
      </c>
      <c r="C205" s="170"/>
      <c r="D205" s="14"/>
      <c r="E205" s="14"/>
      <c r="F205" s="14"/>
      <c r="G205" s="14"/>
      <c r="H205" s="14"/>
      <c r="I205" s="14"/>
      <c r="J205" s="13" t="str">
        <f t="shared" ref="J205:K205" si="33">J106</f>
        <v>titik</v>
      </c>
      <c r="K205" s="13" t="str">
        <f t="shared" si="33"/>
        <v>Rp</v>
      </c>
      <c r="L205" s="13">
        <f>L106</f>
        <v>165500</v>
      </c>
      <c r="M205" s="56" t="s">
        <v>15</v>
      </c>
      <c r="N205" s="15"/>
    </row>
    <row r="206" spans="1:14" ht="15.75" x14ac:dyDescent="0.25">
      <c r="A206" s="12">
        <v>10</v>
      </c>
      <c r="B206" s="171" t="s">
        <v>90</v>
      </c>
      <c r="C206" s="170"/>
      <c r="D206" s="14"/>
      <c r="E206" s="14"/>
      <c r="F206" s="14"/>
      <c r="G206" s="14"/>
      <c r="H206" s="14"/>
      <c r="I206" s="14"/>
      <c r="J206" s="13" t="str">
        <f t="shared" ref="J206:L206" si="34">J107</f>
        <v>titik</v>
      </c>
      <c r="K206" s="13" t="str">
        <f t="shared" si="34"/>
        <v>Rp</v>
      </c>
      <c r="L206" s="13">
        <f t="shared" si="34"/>
        <v>174200</v>
      </c>
      <c r="M206" s="56" t="s">
        <v>15</v>
      </c>
      <c r="N206" s="15"/>
    </row>
    <row r="207" spans="1:14" ht="15.75" x14ac:dyDescent="0.25">
      <c r="A207" s="12">
        <v>11</v>
      </c>
      <c r="B207" s="171" t="s">
        <v>91</v>
      </c>
      <c r="C207" s="170"/>
      <c r="D207" s="14"/>
      <c r="E207" s="14"/>
      <c r="F207" s="14"/>
      <c r="G207" s="14"/>
      <c r="H207" s="14"/>
      <c r="I207" s="14"/>
      <c r="J207" s="13" t="str">
        <f t="shared" ref="J207:K207" si="35">J108</f>
        <v>titik</v>
      </c>
      <c r="K207" s="13" t="str">
        <f t="shared" si="35"/>
        <v>Rp</v>
      </c>
      <c r="L207" s="13">
        <f>L108</f>
        <v>6678700</v>
      </c>
      <c r="M207" s="56" t="s">
        <v>15</v>
      </c>
      <c r="N207" s="15"/>
    </row>
    <row r="208" spans="1:14" ht="15.75" x14ac:dyDescent="0.25">
      <c r="A208" s="12">
        <v>12</v>
      </c>
      <c r="B208" s="171" t="s">
        <v>92</v>
      </c>
      <c r="C208" s="170"/>
      <c r="D208" s="14"/>
      <c r="E208" s="14"/>
      <c r="F208" s="14"/>
      <c r="G208" s="14"/>
      <c r="H208" s="14"/>
      <c r="I208" s="14"/>
      <c r="J208" s="13" t="str">
        <f t="shared" ref="J208:L208" si="36">J109</f>
        <v>titik</v>
      </c>
      <c r="K208" s="13" t="str">
        <f t="shared" si="36"/>
        <v>Rp</v>
      </c>
      <c r="L208" s="13">
        <f t="shared" si="36"/>
        <v>18264900</v>
      </c>
      <c r="M208" s="56" t="s">
        <v>15</v>
      </c>
      <c r="N208" s="15"/>
    </row>
    <row r="209" spans="1:14" ht="15.75" x14ac:dyDescent="0.25">
      <c r="A209" s="12">
        <v>13</v>
      </c>
      <c r="B209" s="171" t="s">
        <v>93</v>
      </c>
      <c r="C209" s="170"/>
      <c r="D209" s="14"/>
      <c r="E209" s="14"/>
      <c r="F209" s="14"/>
      <c r="G209" s="14"/>
      <c r="H209" s="14"/>
      <c r="I209" s="14"/>
      <c r="J209" s="13" t="str">
        <f t="shared" ref="J209:L209" si="37">J110</f>
        <v>titik</v>
      </c>
      <c r="K209" s="13" t="str">
        <f t="shared" si="37"/>
        <v>Rp</v>
      </c>
      <c r="L209" s="13">
        <f t="shared" si="37"/>
        <v>10099900</v>
      </c>
      <c r="M209" s="56" t="s">
        <v>15</v>
      </c>
      <c r="N209" s="15"/>
    </row>
    <row r="210" spans="1:14" ht="15.75" x14ac:dyDescent="0.25">
      <c r="A210" s="21"/>
      <c r="B210" s="155"/>
      <c r="C210" s="156"/>
      <c r="D210" s="24"/>
      <c r="E210" s="24"/>
      <c r="F210" s="24"/>
      <c r="G210" s="24"/>
      <c r="H210" s="24"/>
      <c r="I210" s="24"/>
      <c r="J210" s="22"/>
      <c r="K210" s="54" t="s">
        <v>41</v>
      </c>
      <c r="L210" s="54"/>
      <c r="M210" s="54" t="s">
        <v>15</v>
      </c>
      <c r="N210" s="55">
        <f>SUM(N197:N209)</f>
        <v>0</v>
      </c>
    </row>
    <row r="211" spans="1:14" ht="15.75" x14ac:dyDescent="0.25">
      <c r="A211" s="79"/>
      <c r="B211" s="158"/>
      <c r="C211" s="170"/>
      <c r="D211" s="14"/>
      <c r="E211" s="14"/>
      <c r="F211" s="14"/>
      <c r="G211" s="14"/>
      <c r="H211" s="14"/>
      <c r="I211" s="14"/>
      <c r="J211" s="13"/>
      <c r="K211" s="13"/>
      <c r="L211" s="13"/>
      <c r="M211" s="13"/>
      <c r="N211" s="15"/>
    </row>
    <row r="212" spans="1:14" ht="15.75" x14ac:dyDescent="0.25">
      <c r="A212" s="78" t="s">
        <v>42</v>
      </c>
      <c r="B212" s="162" t="s">
        <v>96</v>
      </c>
      <c r="C212" s="170"/>
      <c r="D212" s="14"/>
      <c r="E212" s="14"/>
      <c r="F212" s="14"/>
      <c r="G212" s="14"/>
      <c r="H212" s="14"/>
      <c r="I212" s="14"/>
      <c r="J212" s="13"/>
      <c r="K212" s="13"/>
      <c r="L212" s="13"/>
      <c r="M212" s="13"/>
      <c r="N212" s="15"/>
    </row>
    <row r="213" spans="1:14" ht="15.75" x14ac:dyDescent="0.25">
      <c r="A213" s="12">
        <v>1</v>
      </c>
      <c r="B213" s="171" t="s">
        <v>97</v>
      </c>
      <c r="C213" s="170"/>
      <c r="D213" s="14"/>
      <c r="E213" s="14"/>
      <c r="F213" s="14"/>
      <c r="G213" s="14"/>
      <c r="H213" s="14"/>
      <c r="I213" s="14"/>
      <c r="J213" s="13" t="str">
        <f>J116</f>
        <v>titik</v>
      </c>
      <c r="K213" s="13" t="str">
        <f t="shared" ref="K213:L213" si="38">K116</f>
        <v>Rp</v>
      </c>
      <c r="L213" s="13">
        <f t="shared" si="38"/>
        <v>7927400</v>
      </c>
      <c r="M213" s="56" t="s">
        <v>15</v>
      </c>
      <c r="N213" s="15"/>
    </row>
    <row r="214" spans="1:14" ht="15.75" x14ac:dyDescent="0.25">
      <c r="A214" s="12">
        <v>2</v>
      </c>
      <c r="B214" s="171" t="s">
        <v>98</v>
      </c>
      <c r="C214" s="170"/>
      <c r="D214" s="14"/>
      <c r="E214" s="14"/>
      <c r="F214" s="14"/>
      <c r="G214" s="14"/>
      <c r="H214" s="14"/>
      <c r="I214" s="14"/>
      <c r="J214" s="13" t="str">
        <f t="shared" ref="J214:J230" si="39">J117</f>
        <v>titik</v>
      </c>
      <c r="K214" s="56" t="s">
        <v>15</v>
      </c>
      <c r="L214" s="13">
        <f t="shared" ref="L214" si="40">L117</f>
        <v>399400</v>
      </c>
      <c r="M214" s="56" t="s">
        <v>15</v>
      </c>
      <c r="N214" s="15"/>
    </row>
    <row r="215" spans="1:14" ht="15.75" x14ac:dyDescent="0.25">
      <c r="A215" s="12">
        <v>3</v>
      </c>
      <c r="B215" s="171" t="s">
        <v>99</v>
      </c>
      <c r="C215" s="170"/>
      <c r="D215" s="14"/>
      <c r="E215" s="14"/>
      <c r="F215" s="14"/>
      <c r="G215" s="14"/>
      <c r="H215" s="14"/>
      <c r="I215" s="14"/>
      <c r="J215" s="13" t="str">
        <f t="shared" si="39"/>
        <v>titik</v>
      </c>
      <c r="K215" s="56" t="s">
        <v>15</v>
      </c>
      <c r="L215" s="13">
        <f t="shared" ref="L215" si="41">L118</f>
        <v>484300</v>
      </c>
      <c r="M215" s="56" t="s">
        <v>15</v>
      </c>
      <c r="N215" s="15"/>
    </row>
    <row r="216" spans="1:14" ht="15.75" x14ac:dyDescent="0.25">
      <c r="A216" s="12">
        <v>4</v>
      </c>
      <c r="B216" s="171" t="s">
        <v>100</v>
      </c>
      <c r="C216" s="170"/>
      <c r="D216" s="14"/>
      <c r="E216" s="14"/>
      <c r="F216" s="14"/>
      <c r="G216" s="14"/>
      <c r="H216" s="14"/>
      <c r="I216" s="14"/>
      <c r="J216" s="13" t="str">
        <f t="shared" si="39"/>
        <v>titik</v>
      </c>
      <c r="K216" s="56" t="s">
        <v>15</v>
      </c>
      <c r="L216" s="13">
        <f t="shared" ref="L216" si="42">L119</f>
        <v>2419800</v>
      </c>
      <c r="M216" s="56" t="s">
        <v>15</v>
      </c>
      <c r="N216" s="15"/>
    </row>
    <row r="217" spans="1:14" ht="15.75" x14ac:dyDescent="0.25">
      <c r="A217" s="12">
        <v>5</v>
      </c>
      <c r="B217" s="171" t="s">
        <v>101</v>
      </c>
      <c r="C217" s="170"/>
      <c r="D217" s="14"/>
      <c r="E217" s="14"/>
      <c r="F217" s="14"/>
      <c r="G217" s="14"/>
      <c r="H217" s="14"/>
      <c r="I217" s="14"/>
      <c r="J217" s="13" t="str">
        <f t="shared" si="39"/>
        <v>titik</v>
      </c>
      <c r="K217" s="56" t="s">
        <v>15</v>
      </c>
      <c r="L217" s="13">
        <f t="shared" ref="L217" si="43">L120</f>
        <v>2419800</v>
      </c>
      <c r="M217" s="56" t="s">
        <v>15</v>
      </c>
      <c r="N217" s="15"/>
    </row>
    <row r="218" spans="1:14" ht="15.75" x14ac:dyDescent="0.25">
      <c r="A218" s="12">
        <v>6</v>
      </c>
      <c r="B218" s="171" t="s">
        <v>102</v>
      </c>
      <c r="C218" s="170"/>
      <c r="D218" s="14"/>
      <c r="E218" s="14"/>
      <c r="F218" s="14"/>
      <c r="G218" s="14"/>
      <c r="H218" s="14"/>
      <c r="I218" s="14"/>
      <c r="J218" s="13" t="str">
        <f t="shared" si="39"/>
        <v>titik</v>
      </c>
      <c r="K218" s="56" t="s">
        <v>15</v>
      </c>
      <c r="L218" s="13">
        <f t="shared" ref="L218" si="44">L121</f>
        <v>108300</v>
      </c>
      <c r="M218" s="56" t="s">
        <v>15</v>
      </c>
      <c r="N218" s="15"/>
    </row>
    <row r="219" spans="1:14" ht="15.75" x14ac:dyDescent="0.25">
      <c r="A219" s="12">
        <v>7</v>
      </c>
      <c r="B219" s="171" t="s">
        <v>103</v>
      </c>
      <c r="C219" s="170"/>
      <c r="D219" s="14"/>
      <c r="E219" s="14"/>
      <c r="F219" s="14"/>
      <c r="G219" s="14"/>
      <c r="H219" s="14"/>
      <c r="I219" s="14"/>
      <c r="J219" s="13" t="str">
        <f t="shared" si="39"/>
        <v>titik</v>
      </c>
      <c r="K219" s="56" t="s">
        <v>15</v>
      </c>
      <c r="L219" s="13">
        <f t="shared" ref="L219" si="45">L122</f>
        <v>369900</v>
      </c>
      <c r="M219" s="56" t="s">
        <v>15</v>
      </c>
      <c r="N219" s="15"/>
    </row>
    <row r="220" spans="1:14" ht="15.75" x14ac:dyDescent="0.25">
      <c r="A220" s="12">
        <v>8</v>
      </c>
      <c r="B220" s="171" t="s">
        <v>104</v>
      </c>
      <c r="C220" s="170"/>
      <c r="D220" s="14"/>
      <c r="E220" s="14"/>
      <c r="F220" s="14"/>
      <c r="G220" s="14"/>
      <c r="H220" s="14"/>
      <c r="I220" s="14"/>
      <c r="J220" s="13" t="str">
        <f t="shared" si="39"/>
        <v>titik</v>
      </c>
      <c r="K220" s="56" t="s">
        <v>15</v>
      </c>
      <c r="L220" s="13">
        <f t="shared" ref="L220" si="46">L123</f>
        <v>793700</v>
      </c>
      <c r="M220" s="56" t="s">
        <v>15</v>
      </c>
      <c r="N220" s="15"/>
    </row>
    <row r="221" spans="1:14" ht="15.75" x14ac:dyDescent="0.25">
      <c r="A221" s="12">
        <v>9</v>
      </c>
      <c r="B221" s="171" t="s">
        <v>105</v>
      </c>
      <c r="C221" s="170"/>
      <c r="D221" s="14"/>
      <c r="E221" s="14"/>
      <c r="F221" s="14"/>
      <c r="G221" s="14"/>
      <c r="H221" s="14"/>
      <c r="I221" s="14"/>
      <c r="J221" s="13" t="str">
        <f t="shared" si="39"/>
        <v>titik</v>
      </c>
      <c r="K221" s="56" t="s">
        <v>15</v>
      </c>
      <c r="L221" s="13">
        <f t="shared" ref="L221" si="47">L124</f>
        <v>56500</v>
      </c>
      <c r="M221" s="56" t="s">
        <v>15</v>
      </c>
      <c r="N221" s="15"/>
    </row>
    <row r="222" spans="1:14" ht="15.75" x14ac:dyDescent="0.25">
      <c r="A222" s="12">
        <v>10</v>
      </c>
      <c r="B222" s="171" t="s">
        <v>106</v>
      </c>
      <c r="C222" s="170"/>
      <c r="D222" s="14"/>
      <c r="E222" s="14"/>
      <c r="F222" s="14"/>
      <c r="G222" s="14"/>
      <c r="H222" s="14"/>
      <c r="I222" s="14"/>
      <c r="J222" s="13" t="str">
        <f t="shared" si="39"/>
        <v>titik</v>
      </c>
      <c r="K222" s="56" t="s">
        <v>15</v>
      </c>
      <c r="L222" s="13">
        <f t="shared" ref="L222" si="48">L125</f>
        <v>390000</v>
      </c>
      <c r="M222" s="56" t="s">
        <v>15</v>
      </c>
      <c r="N222" s="15"/>
    </row>
    <row r="223" spans="1:14" ht="15.75" x14ac:dyDescent="0.25">
      <c r="A223" s="12">
        <v>11</v>
      </c>
      <c r="B223" s="171" t="s">
        <v>107</v>
      </c>
      <c r="C223" s="170"/>
      <c r="D223" s="14"/>
      <c r="E223" s="14"/>
      <c r="F223" s="14"/>
      <c r="G223" s="14"/>
      <c r="H223" s="14"/>
      <c r="I223" s="14"/>
      <c r="J223" s="13" t="str">
        <f t="shared" si="39"/>
        <v>titik</v>
      </c>
      <c r="K223" s="56" t="s">
        <v>15</v>
      </c>
      <c r="L223" s="13">
        <f t="shared" ref="L223" si="49">L126</f>
        <v>1879300</v>
      </c>
      <c r="M223" s="56" t="s">
        <v>15</v>
      </c>
      <c r="N223" s="15"/>
    </row>
    <row r="224" spans="1:14" ht="15.75" x14ac:dyDescent="0.25">
      <c r="A224" s="12">
        <v>12</v>
      </c>
      <c r="B224" s="171" t="s">
        <v>108</v>
      </c>
      <c r="C224" s="170"/>
      <c r="D224" s="14"/>
      <c r="E224" s="14"/>
      <c r="F224" s="14"/>
      <c r="G224" s="14"/>
      <c r="H224" s="14"/>
      <c r="I224" s="14"/>
      <c r="J224" s="13" t="str">
        <f t="shared" si="39"/>
        <v>titik</v>
      </c>
      <c r="K224" s="56" t="s">
        <v>15</v>
      </c>
      <c r="L224" s="13">
        <f t="shared" ref="L224" si="50">L127</f>
        <v>2343200</v>
      </c>
      <c r="M224" s="56" t="s">
        <v>15</v>
      </c>
      <c r="N224" s="15"/>
    </row>
    <row r="225" spans="1:14" ht="15.75" x14ac:dyDescent="0.25">
      <c r="A225" s="12">
        <v>13</v>
      </c>
      <c r="B225" s="171" t="s">
        <v>109</v>
      </c>
      <c r="C225" s="170"/>
      <c r="D225" s="14"/>
      <c r="E225" s="14"/>
      <c r="F225" s="14"/>
      <c r="G225" s="14"/>
      <c r="H225" s="14"/>
      <c r="I225" s="14"/>
      <c r="J225" s="13" t="str">
        <f t="shared" si="39"/>
        <v>m'</v>
      </c>
      <c r="K225" s="56" t="s">
        <v>15</v>
      </c>
      <c r="L225" s="13">
        <f t="shared" ref="L225" si="51">L128</f>
        <v>124400</v>
      </c>
      <c r="M225" s="56" t="s">
        <v>15</v>
      </c>
      <c r="N225" s="15"/>
    </row>
    <row r="226" spans="1:14" ht="15.75" x14ac:dyDescent="0.25">
      <c r="A226" s="12">
        <v>14</v>
      </c>
      <c r="B226" s="171" t="s">
        <v>110</v>
      </c>
      <c r="C226" s="170"/>
      <c r="D226" s="14"/>
      <c r="E226" s="14"/>
      <c r="F226" s="14"/>
      <c r="G226" s="14"/>
      <c r="H226" s="14"/>
      <c r="I226" s="14"/>
      <c r="J226" s="13" t="str">
        <f t="shared" si="39"/>
        <v>m'</v>
      </c>
      <c r="K226" s="56" t="s">
        <v>15</v>
      </c>
      <c r="L226" s="13">
        <f t="shared" ref="L226" si="52">L129</f>
        <v>188300</v>
      </c>
      <c r="M226" s="56" t="s">
        <v>15</v>
      </c>
      <c r="N226" s="15"/>
    </row>
    <row r="227" spans="1:14" ht="15.75" x14ac:dyDescent="0.25">
      <c r="A227" s="12">
        <v>15</v>
      </c>
      <c r="B227" s="171" t="s">
        <v>111</v>
      </c>
      <c r="C227" s="170"/>
      <c r="D227" s="14"/>
      <c r="E227" s="14"/>
      <c r="F227" s="14"/>
      <c r="G227" s="14"/>
      <c r="H227" s="14"/>
      <c r="I227" s="14"/>
      <c r="J227" s="13" t="str">
        <f t="shared" si="39"/>
        <v>titik</v>
      </c>
      <c r="K227" s="56" t="s">
        <v>15</v>
      </c>
      <c r="L227" s="13">
        <f t="shared" ref="L227" si="53">L130</f>
        <v>305100</v>
      </c>
      <c r="M227" s="56" t="s">
        <v>15</v>
      </c>
      <c r="N227" s="15"/>
    </row>
    <row r="228" spans="1:14" ht="15.75" x14ac:dyDescent="0.25">
      <c r="A228" s="12">
        <v>16</v>
      </c>
      <c r="B228" s="171" t="s">
        <v>112</v>
      </c>
      <c r="C228" s="170"/>
      <c r="D228" s="14"/>
      <c r="E228" s="14"/>
      <c r="F228" s="14"/>
      <c r="G228" s="14"/>
      <c r="H228" s="14"/>
      <c r="I228" s="14"/>
      <c r="J228" s="13" t="str">
        <f t="shared" si="39"/>
        <v>titik</v>
      </c>
      <c r="K228" s="56" t="s">
        <v>15</v>
      </c>
      <c r="L228" s="13">
        <f t="shared" ref="L228" si="54">L131</f>
        <v>124600</v>
      </c>
      <c r="M228" s="56" t="s">
        <v>15</v>
      </c>
      <c r="N228" s="15"/>
    </row>
    <row r="229" spans="1:14" ht="15.75" x14ac:dyDescent="0.25">
      <c r="A229" s="12">
        <v>17</v>
      </c>
      <c r="B229" s="171" t="s">
        <v>113</v>
      </c>
      <c r="C229" s="170"/>
      <c r="D229" s="14"/>
      <c r="E229" s="14"/>
      <c r="F229" s="14"/>
      <c r="G229" s="14"/>
      <c r="H229" s="14"/>
      <c r="I229" s="14"/>
      <c r="J229" s="13" t="str">
        <f t="shared" si="39"/>
        <v>titik</v>
      </c>
      <c r="K229" s="56" t="s">
        <v>15</v>
      </c>
      <c r="L229" s="13">
        <f t="shared" ref="L229" si="55">L132</f>
        <v>592300</v>
      </c>
      <c r="M229" s="56" t="s">
        <v>15</v>
      </c>
      <c r="N229" s="15"/>
    </row>
    <row r="230" spans="1:14" ht="15.75" x14ac:dyDescent="0.25">
      <c r="A230" s="12">
        <v>18</v>
      </c>
      <c r="B230" s="171" t="s">
        <v>114</v>
      </c>
      <c r="C230" s="170"/>
      <c r="D230" s="14"/>
      <c r="E230" s="14"/>
      <c r="F230" s="14"/>
      <c r="G230" s="14"/>
      <c r="H230" s="14"/>
      <c r="I230" s="14"/>
      <c r="J230" s="13" t="str">
        <f t="shared" si="39"/>
        <v>titik</v>
      </c>
      <c r="K230" s="56" t="s">
        <v>15</v>
      </c>
      <c r="L230" s="13">
        <f t="shared" ref="L230" si="56">L133</f>
        <v>484300</v>
      </c>
      <c r="M230" s="56" t="s">
        <v>15</v>
      </c>
      <c r="N230" s="15"/>
    </row>
    <row r="231" spans="1:14" ht="15.75" x14ac:dyDescent="0.25">
      <c r="A231" s="21"/>
      <c r="B231" s="155"/>
      <c r="C231" s="156"/>
      <c r="D231" s="24"/>
      <c r="E231" s="24"/>
      <c r="F231" s="24"/>
      <c r="G231" s="24"/>
      <c r="H231" s="24"/>
      <c r="I231" s="24"/>
      <c r="J231" s="22"/>
      <c r="K231" s="54" t="s">
        <v>180</v>
      </c>
      <c r="L231" s="54"/>
      <c r="M231" s="54" t="s">
        <v>15</v>
      </c>
      <c r="N231" s="55">
        <f>SUM(N212:N230)</f>
        <v>0</v>
      </c>
    </row>
    <row r="232" spans="1:14" ht="15.75" x14ac:dyDescent="0.25">
      <c r="A232" s="12"/>
      <c r="B232" s="171"/>
      <c r="C232" s="170"/>
      <c r="D232" s="14"/>
      <c r="E232" s="14"/>
      <c r="F232" s="14"/>
      <c r="G232" s="14"/>
      <c r="H232" s="14"/>
      <c r="I232" s="14"/>
      <c r="J232" s="13"/>
      <c r="K232" s="13"/>
      <c r="L232" s="13"/>
      <c r="M232" s="13"/>
      <c r="N232" s="15"/>
    </row>
    <row r="233" spans="1:14" ht="15.75" x14ac:dyDescent="0.25">
      <c r="A233" s="78" t="s">
        <v>43</v>
      </c>
      <c r="B233" s="162" t="s">
        <v>129</v>
      </c>
      <c r="C233" s="163"/>
      <c r="D233" s="18"/>
      <c r="E233" s="18"/>
      <c r="F233" s="18"/>
      <c r="G233" s="18"/>
      <c r="H233" s="18"/>
      <c r="I233" s="18"/>
      <c r="J233" s="17"/>
      <c r="K233" s="17"/>
      <c r="L233" s="17"/>
      <c r="M233" s="17"/>
      <c r="N233" s="20"/>
    </row>
    <row r="234" spans="1:14" ht="15.75" x14ac:dyDescent="0.25">
      <c r="A234" s="16">
        <v>1</v>
      </c>
      <c r="B234" s="153" t="s">
        <v>175</v>
      </c>
      <c r="C234" s="154"/>
      <c r="D234" s="18">
        <v>1</v>
      </c>
      <c r="E234" s="18"/>
      <c r="F234" s="18"/>
      <c r="G234" s="18"/>
      <c r="H234" s="18"/>
      <c r="I234" s="18"/>
      <c r="J234" s="17" t="s">
        <v>46</v>
      </c>
      <c r="K234" s="17" t="s">
        <v>15</v>
      </c>
      <c r="L234" s="17">
        <f>AHSP!I1393</f>
        <v>4452800</v>
      </c>
      <c r="M234" s="17" t="s">
        <v>15</v>
      </c>
      <c r="N234" s="20">
        <f>L234*D234</f>
        <v>4452800</v>
      </c>
    </row>
    <row r="235" spans="1:14" ht="15.75" x14ac:dyDescent="0.25">
      <c r="A235" s="21"/>
      <c r="B235" s="155"/>
      <c r="C235" s="156"/>
      <c r="D235" s="24"/>
      <c r="E235" s="24"/>
      <c r="F235" s="24"/>
      <c r="G235" s="24"/>
      <c r="H235" s="24"/>
      <c r="I235" s="24"/>
      <c r="J235" s="22"/>
      <c r="K235" s="54" t="s">
        <v>186</v>
      </c>
      <c r="L235" s="54"/>
      <c r="M235" s="54" t="s">
        <v>15</v>
      </c>
      <c r="N235" s="55">
        <f>SUM(N234:N234)</f>
        <v>4452800</v>
      </c>
    </row>
    <row r="236" spans="1:14" ht="15.75" x14ac:dyDescent="0.25">
      <c r="A236" s="58"/>
      <c r="B236" s="60"/>
      <c r="C236" s="174"/>
      <c r="D236" s="60"/>
      <c r="E236" s="60"/>
      <c r="F236" s="60"/>
      <c r="G236" s="60"/>
      <c r="H236" s="61"/>
      <c r="I236" s="62"/>
      <c r="J236" s="62"/>
      <c r="K236" s="62"/>
      <c r="L236" s="63"/>
      <c r="M236" s="59"/>
      <c r="N236" s="64"/>
    </row>
    <row r="237" spans="1:14" ht="15.75" x14ac:dyDescent="0.25">
      <c r="A237" s="41"/>
      <c r="B237" s="65"/>
      <c r="C237" s="157"/>
      <c r="D237" s="65"/>
      <c r="E237" s="65"/>
      <c r="F237" s="65"/>
      <c r="G237" s="65"/>
      <c r="H237" s="66" t="s">
        <v>47</v>
      </c>
      <c r="I237" s="67"/>
      <c r="J237" s="67"/>
      <c r="K237" s="67"/>
      <c r="L237" s="68"/>
      <c r="M237" s="29" t="s">
        <v>15</v>
      </c>
      <c r="N237" s="30" t="e">
        <f>N13+N20+N28+N34+#REF!+N53+N66+N80+N86+N92+N113+N235+N135+N142+N148+N154+N159+N169+N178+N183+N190+N195+N210+N231</f>
        <v>#REF!</v>
      </c>
    </row>
    <row r="238" spans="1:14" ht="15.75" x14ac:dyDescent="0.25">
      <c r="A238" s="41"/>
      <c r="B238" s="65"/>
      <c r="C238" s="157"/>
      <c r="D238" s="65"/>
      <c r="E238" s="65"/>
      <c r="F238" s="65"/>
      <c r="G238" s="65"/>
      <c r="H238" s="66" t="s">
        <v>48</v>
      </c>
      <c r="I238" s="67"/>
      <c r="J238" s="67"/>
      <c r="K238" s="67"/>
      <c r="L238" s="68"/>
      <c r="M238" s="29" t="s">
        <v>15</v>
      </c>
      <c r="N238" s="30" t="e">
        <f>N237</f>
        <v>#REF!</v>
      </c>
    </row>
    <row r="239" spans="1:14" ht="15.75" x14ac:dyDescent="0.25">
      <c r="A239" s="41"/>
      <c r="B239" s="65"/>
      <c r="C239" s="157"/>
      <c r="D239" s="27"/>
      <c r="E239" s="27"/>
      <c r="F239" s="27"/>
      <c r="G239" s="27"/>
      <c r="H239" s="29" t="s">
        <v>49</v>
      </c>
      <c r="I239" s="29"/>
      <c r="J239" s="29"/>
      <c r="K239" s="29"/>
      <c r="L239" s="29"/>
      <c r="M239" s="29" t="s">
        <v>15</v>
      </c>
      <c r="N239" s="30">
        <v>240</v>
      </c>
    </row>
    <row r="240" spans="1:14" ht="16.5" thickBot="1" x14ac:dyDescent="0.3">
      <c r="A240" s="69"/>
      <c r="B240" s="177"/>
      <c r="C240" s="178"/>
      <c r="D240" s="70"/>
      <c r="E240" s="70"/>
      <c r="F240" s="70"/>
      <c r="G240" s="70"/>
      <c r="H240" s="71" t="s">
        <v>50</v>
      </c>
      <c r="I240" s="71"/>
      <c r="J240" s="71"/>
      <c r="K240" s="71"/>
      <c r="L240" s="71"/>
      <c r="M240" s="71" t="s">
        <v>15</v>
      </c>
      <c r="N240" s="72" t="e">
        <f>N238/N239</f>
        <v>#REF!</v>
      </c>
    </row>
    <row r="241" spans="1:14" x14ac:dyDescent="0.25">
      <c r="A241" s="5"/>
      <c r="B241" s="5"/>
      <c r="C241" s="5"/>
      <c r="D241" s="5"/>
      <c r="E241" s="5"/>
      <c r="F241" s="5"/>
      <c r="G241" s="5"/>
      <c r="H241" s="7"/>
      <c r="I241" s="7"/>
      <c r="J241" s="8"/>
      <c r="K241" s="5"/>
      <c r="L241" s="9"/>
      <c r="M241" s="5"/>
      <c r="N241" s="9"/>
    </row>
    <row r="242" spans="1:14" x14ac:dyDescent="0.25">
      <c r="A242" s="5"/>
      <c r="B242" s="5"/>
      <c r="C242" s="5"/>
      <c r="D242" s="5"/>
      <c r="E242" s="5"/>
      <c r="F242" s="5"/>
      <c r="G242" s="5"/>
      <c r="H242" s="7"/>
      <c r="I242" s="7"/>
      <c r="J242" s="8"/>
      <c r="K242" s="5"/>
      <c r="L242" s="9"/>
      <c r="M242" s="5"/>
      <c r="N242" s="9"/>
    </row>
    <row r="243" spans="1:14" x14ac:dyDescent="0.25">
      <c r="A243" s="5"/>
      <c r="B243" s="5"/>
      <c r="C243" s="5"/>
      <c r="D243" s="5"/>
      <c r="E243" s="5"/>
      <c r="F243" s="5"/>
      <c r="G243" s="5"/>
      <c r="H243" s="7"/>
      <c r="I243" s="7"/>
      <c r="J243" s="8"/>
      <c r="K243" s="5"/>
      <c r="L243" s="9"/>
      <c r="M243" s="5"/>
      <c r="N243" s="9"/>
    </row>
    <row r="244" spans="1:14" x14ac:dyDescent="0.25">
      <c r="A244" s="5"/>
      <c r="B244" s="5"/>
      <c r="C244" s="5"/>
      <c r="D244" s="5"/>
      <c r="E244" s="5"/>
      <c r="F244" s="5"/>
      <c r="G244" s="5"/>
      <c r="H244" s="7"/>
      <c r="I244" s="7"/>
      <c r="J244" s="8"/>
      <c r="K244" s="5"/>
      <c r="L244" s="9"/>
      <c r="M244" s="5"/>
      <c r="N244" s="9"/>
    </row>
    <row r="245" spans="1:14" x14ac:dyDescent="0.25">
      <c r="A245" s="5"/>
      <c r="B245" s="5"/>
      <c r="C245" s="5"/>
      <c r="D245" s="5"/>
      <c r="E245" s="5"/>
      <c r="F245" s="5"/>
      <c r="G245" s="5"/>
      <c r="H245" s="7"/>
      <c r="I245" s="7"/>
      <c r="J245" s="8"/>
      <c r="K245" s="5"/>
      <c r="L245" s="9"/>
      <c r="M245" s="5"/>
      <c r="N245" s="9"/>
    </row>
  </sheetData>
  <mergeCells count="5">
    <mergeCell ref="A1:N1"/>
    <mergeCell ref="K7:L7"/>
    <mergeCell ref="M7:N7"/>
    <mergeCell ref="B7:C7"/>
    <mergeCell ref="B8:C8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8"/>
  <sheetViews>
    <sheetView tabSelected="1" topLeftCell="A79" zoomScale="60" zoomScaleNormal="60" workbookViewId="0">
      <selection activeCell="L20" sqref="L20"/>
    </sheetView>
  </sheetViews>
  <sheetFormatPr defaultRowHeight="15" x14ac:dyDescent="0.25"/>
  <cols>
    <col min="1" max="1" width="9.28515625" style="249" customWidth="1"/>
    <col min="2" max="2" width="41.42578125" style="392" customWidth="1"/>
    <col min="3" max="3" width="10.140625" style="249" customWidth="1"/>
    <col min="4" max="4" width="10.5703125" style="430" bestFit="1" customWidth="1"/>
    <col min="5" max="5" width="9.85546875" style="249" bestFit="1" customWidth="1"/>
    <col min="6" max="6" width="17" style="249" bestFit="1" customWidth="1"/>
    <col min="7" max="7" width="15.5703125" style="249" bestFit="1" customWidth="1"/>
    <col min="8" max="8" width="14.140625" style="249" hidden="1" customWidth="1"/>
    <col min="9" max="9" width="18.28515625" style="378" bestFit="1" customWidth="1"/>
    <col min="10" max="11" width="9.140625" style="249"/>
    <col min="12" max="12" width="9.28515625" style="249" bestFit="1" customWidth="1"/>
    <col min="13" max="16384" width="9.140625" style="249"/>
  </cols>
  <sheetData>
    <row r="1" spans="1:9" x14ac:dyDescent="0.25">
      <c r="A1" s="246" t="str">
        <f>RAB!A3</f>
        <v>PEKERJAAN</v>
      </c>
      <c r="B1" s="379"/>
      <c r="C1" s="247" t="str">
        <f>RAB!C3</f>
        <v>: RUMAH TINGGAL SEDERHANA 2 LANTAI</v>
      </c>
      <c r="D1" s="415"/>
      <c r="F1" s="248"/>
      <c r="G1" s="248"/>
      <c r="H1" s="248"/>
      <c r="I1" s="248"/>
    </row>
    <row r="2" spans="1:9" x14ac:dyDescent="0.25">
      <c r="A2" s="246" t="str">
        <f>RAB!A4</f>
        <v>PEMILIK</v>
      </c>
      <c r="B2" s="379"/>
      <c r="C2" s="247" t="str">
        <f>RAB!C4</f>
        <v>: BADAN WAKAF UII</v>
      </c>
      <c r="D2" s="415"/>
      <c r="F2" s="248"/>
      <c r="G2" s="248"/>
      <c r="H2" s="248"/>
      <c r="I2" s="248"/>
    </row>
    <row r="3" spans="1:9" x14ac:dyDescent="0.25">
      <c r="A3" s="246" t="str">
        <f>RAB!A5</f>
        <v>LOKASI</v>
      </c>
      <c r="B3" s="379"/>
      <c r="C3" s="247" t="str">
        <f>RAB!C5</f>
        <v>: JALAN KALIURANG KM 14,5</v>
      </c>
      <c r="D3" s="416"/>
      <c r="F3" s="248"/>
      <c r="G3" s="248"/>
      <c r="H3" s="248"/>
      <c r="I3" s="248"/>
    </row>
    <row r="4" spans="1:9" ht="15.75" thickBot="1" x14ac:dyDescent="0.3">
      <c r="A4" s="250"/>
      <c r="B4" s="380"/>
      <c r="C4" s="252"/>
      <c r="D4" s="417"/>
      <c r="E4" s="251"/>
      <c r="F4" s="252"/>
      <c r="G4" s="252"/>
      <c r="H4" s="252"/>
      <c r="I4" s="252"/>
    </row>
    <row r="5" spans="1:9" ht="16.5" thickTop="1" thickBot="1" x14ac:dyDescent="0.3">
      <c r="A5" s="253" t="s">
        <v>3</v>
      </c>
      <c r="B5" s="381" t="s">
        <v>1375</v>
      </c>
      <c r="C5" s="376" t="s">
        <v>1370</v>
      </c>
      <c r="D5" s="418" t="s">
        <v>1371</v>
      </c>
      <c r="E5" s="376" t="s">
        <v>1372</v>
      </c>
      <c r="F5" s="376" t="s">
        <v>1374</v>
      </c>
      <c r="G5" s="254" t="s">
        <v>1373</v>
      </c>
      <c r="H5" s="255"/>
      <c r="I5" s="455" t="s">
        <v>222</v>
      </c>
    </row>
    <row r="6" spans="1:9" ht="16.5" thickTop="1" thickBot="1" x14ac:dyDescent="0.3">
      <c r="A6" s="256" t="s">
        <v>223</v>
      </c>
      <c r="B6" s="382" t="s">
        <v>224</v>
      </c>
      <c r="C6" s="340" t="s">
        <v>225</v>
      </c>
      <c r="D6" s="419" t="s">
        <v>226</v>
      </c>
      <c r="E6" s="340" t="s">
        <v>1376</v>
      </c>
      <c r="F6" s="257" t="s">
        <v>1377</v>
      </c>
      <c r="G6" s="340" t="s">
        <v>1378</v>
      </c>
      <c r="H6" s="257" t="s">
        <v>1377</v>
      </c>
      <c r="I6" s="456" t="s">
        <v>1379</v>
      </c>
    </row>
    <row r="7" spans="1:9" ht="15.75" thickTop="1" x14ac:dyDescent="0.25">
      <c r="A7" s="258"/>
      <c r="B7" s="383" t="s">
        <v>13</v>
      </c>
      <c r="C7" s="261"/>
      <c r="D7" s="420"/>
      <c r="E7" s="259"/>
      <c r="F7" s="261"/>
      <c r="G7" s="262"/>
      <c r="H7" s="263"/>
      <c r="I7" s="457"/>
    </row>
    <row r="8" spans="1:9" x14ac:dyDescent="0.25">
      <c r="A8" s="258"/>
      <c r="B8" s="384"/>
      <c r="C8" s="261"/>
      <c r="D8" s="421"/>
      <c r="E8" s="259"/>
      <c r="F8" s="261"/>
      <c r="G8" s="262"/>
      <c r="H8" s="263"/>
      <c r="I8" s="457"/>
    </row>
    <row r="9" spans="1:9" x14ac:dyDescent="0.25">
      <c r="A9" s="264">
        <v>1</v>
      </c>
      <c r="B9" s="385" t="s">
        <v>227</v>
      </c>
      <c r="C9" s="261"/>
      <c r="D9" s="422">
        <v>1</v>
      </c>
      <c r="E9" s="265" t="s">
        <v>14</v>
      </c>
      <c r="F9" s="261"/>
      <c r="G9" s="262"/>
      <c r="H9" s="263"/>
      <c r="I9" s="457"/>
    </row>
    <row r="10" spans="1:9" x14ac:dyDescent="0.25">
      <c r="A10" s="266" t="s">
        <v>231</v>
      </c>
      <c r="B10" s="386" t="s">
        <v>217</v>
      </c>
      <c r="C10" s="261"/>
      <c r="D10" s="421">
        <v>0.1</v>
      </c>
      <c r="E10" s="259" t="s">
        <v>228</v>
      </c>
      <c r="F10" s="261">
        <f>VLOOKUP($B10,HSU!$B$6:$D$38,3,FALSE)</f>
        <v>70000</v>
      </c>
      <c r="G10" s="267">
        <f>F10*D10</f>
        <v>7000</v>
      </c>
      <c r="H10" s="263"/>
      <c r="I10" s="457"/>
    </row>
    <row r="11" spans="1:9" x14ac:dyDescent="0.25">
      <c r="A11" s="268"/>
      <c r="B11" s="387" t="s">
        <v>220</v>
      </c>
      <c r="C11" s="328"/>
      <c r="D11" s="423">
        <v>0.05</v>
      </c>
      <c r="E11" s="269" t="s">
        <v>228</v>
      </c>
      <c r="F11" s="261">
        <f>VLOOKUP($B11,HSU!$B$6:$D$38,3,FALSE)</f>
        <v>85000</v>
      </c>
      <c r="G11" s="270">
        <f>F11*D11</f>
        <v>4250</v>
      </c>
      <c r="H11" s="271"/>
      <c r="I11" s="458"/>
    </row>
    <row r="12" spans="1:9" x14ac:dyDescent="0.25">
      <c r="A12" s="272"/>
      <c r="B12" s="388" t="s">
        <v>222</v>
      </c>
      <c r="C12" s="274"/>
      <c r="D12" s="424"/>
      <c r="E12" s="273"/>
      <c r="F12" s="274"/>
      <c r="G12" s="275">
        <f>SUM(G10:G11)</f>
        <v>11250</v>
      </c>
      <c r="H12" s="276"/>
      <c r="I12" s="459">
        <f>G12</f>
        <v>11250</v>
      </c>
    </row>
    <row r="13" spans="1:9" x14ac:dyDescent="0.25">
      <c r="A13" s="277"/>
      <c r="B13" s="389" t="s">
        <v>229</v>
      </c>
      <c r="C13" s="279"/>
      <c r="D13" s="425"/>
      <c r="E13" s="278"/>
      <c r="F13" s="279"/>
      <c r="G13" s="280"/>
      <c r="H13" s="281"/>
      <c r="I13" s="460">
        <f>I12*0.15</f>
        <v>1687.5</v>
      </c>
    </row>
    <row r="14" spans="1:9" x14ac:dyDescent="0.25">
      <c r="A14" s="277"/>
      <c r="B14" s="389" t="s">
        <v>222</v>
      </c>
      <c r="C14" s="279"/>
      <c r="D14" s="426"/>
      <c r="E14" s="278"/>
      <c r="F14" s="279"/>
      <c r="G14" s="262"/>
      <c r="H14" s="281"/>
      <c r="I14" s="461">
        <f>I12+I13</f>
        <v>12937.5</v>
      </c>
    </row>
    <row r="15" spans="1:9" x14ac:dyDescent="0.25">
      <c r="A15" s="282"/>
      <c r="B15" s="390" t="s">
        <v>230</v>
      </c>
      <c r="C15" s="284"/>
      <c r="D15" s="427"/>
      <c r="E15" s="283"/>
      <c r="F15" s="284"/>
      <c r="G15" s="285"/>
      <c r="H15" s="286"/>
      <c r="I15" s="462">
        <f>ROUNDUP(I14,-2)</f>
        <v>13000</v>
      </c>
    </row>
    <row r="16" spans="1:9" x14ac:dyDescent="0.25">
      <c r="I16" s="463"/>
    </row>
    <row r="17" spans="1:9" x14ac:dyDescent="0.25">
      <c r="A17" s="287">
        <v>2</v>
      </c>
      <c r="B17" s="391" t="s">
        <v>232</v>
      </c>
      <c r="C17" s="289"/>
      <c r="D17" s="428">
        <v>1</v>
      </c>
      <c r="E17" s="288" t="s">
        <v>33</v>
      </c>
      <c r="F17" s="289"/>
      <c r="G17" s="275"/>
      <c r="H17" s="276"/>
      <c r="I17" s="464"/>
    </row>
    <row r="18" spans="1:9" x14ac:dyDescent="0.25">
      <c r="A18" s="290" t="s">
        <v>231</v>
      </c>
      <c r="B18" s="384" t="s">
        <v>1108</v>
      </c>
      <c r="C18" s="292"/>
      <c r="D18" s="429">
        <v>1.2E-2</v>
      </c>
      <c r="E18" s="291" t="s">
        <v>20</v>
      </c>
      <c r="F18" s="292">
        <f>HSM!E76</f>
        <v>3857142.6</v>
      </c>
      <c r="G18" s="263">
        <f>D18*F18</f>
        <v>46285.711200000005</v>
      </c>
      <c r="I18" s="465"/>
    </row>
    <row r="19" spans="1:9" x14ac:dyDescent="0.25">
      <c r="A19" s="293"/>
      <c r="B19" s="384" t="s">
        <v>1109</v>
      </c>
      <c r="C19" s="292"/>
      <c r="D19" s="429">
        <v>0.02</v>
      </c>
      <c r="E19" s="291" t="s">
        <v>233</v>
      </c>
      <c r="F19" s="292">
        <f>HSM!E170</f>
        <v>24000</v>
      </c>
      <c r="G19" s="263">
        <f>D19*F19</f>
        <v>480</v>
      </c>
      <c r="I19" s="465"/>
    </row>
    <row r="20" spans="1:9" x14ac:dyDescent="0.25">
      <c r="A20" s="293"/>
      <c r="B20" s="384" t="s">
        <v>1110</v>
      </c>
      <c r="C20" s="292"/>
      <c r="D20" s="429">
        <v>7.0000000000000001E-3</v>
      </c>
      <c r="E20" s="291" t="s">
        <v>20</v>
      </c>
      <c r="F20" s="292">
        <f>HSM!E74</f>
        <v>900000</v>
      </c>
      <c r="G20" s="263">
        <f>D20*F20</f>
        <v>6300</v>
      </c>
      <c r="I20" s="465"/>
    </row>
    <row r="21" spans="1:9" x14ac:dyDescent="0.25">
      <c r="A21" s="293"/>
      <c r="B21" s="384" t="s">
        <v>1115</v>
      </c>
      <c r="C21" s="261"/>
      <c r="D21" s="429">
        <v>0.1</v>
      </c>
      <c r="E21" s="260"/>
      <c r="F21" s="261">
        <f>VLOOKUP($B21,HSU!$B$6:$D$38,3,FALSE)</f>
        <v>80000</v>
      </c>
      <c r="G21" s="262">
        <f>D21*F21</f>
        <v>8000</v>
      </c>
      <c r="H21" s="263"/>
      <c r="I21" s="465"/>
    </row>
    <row r="22" spans="1:9" x14ac:dyDescent="0.25">
      <c r="A22" s="293"/>
      <c r="B22" s="384" t="s">
        <v>217</v>
      </c>
      <c r="C22" s="261"/>
      <c r="D22" s="429">
        <v>0.1</v>
      </c>
      <c r="E22" s="260"/>
      <c r="F22" s="261">
        <f>VLOOKUP($B22,HSU!$B$6:$D$38,3,FALSE)</f>
        <v>70000</v>
      </c>
      <c r="G22" s="262">
        <f>D22*F22</f>
        <v>7000</v>
      </c>
      <c r="H22" s="263"/>
      <c r="I22" s="465"/>
    </row>
    <row r="23" spans="1:9" x14ac:dyDescent="0.25">
      <c r="A23" s="293"/>
      <c r="B23" s="384" t="s">
        <v>1114</v>
      </c>
      <c r="C23" s="261"/>
      <c r="D23" s="429">
        <v>0.01</v>
      </c>
      <c r="E23" s="260"/>
      <c r="F23" s="261">
        <f>VLOOKUP($B23,HSU!$B$6:$D$38,3,FALSE)</f>
        <v>90000</v>
      </c>
      <c r="G23" s="262">
        <f>D23*F23</f>
        <v>900</v>
      </c>
      <c r="H23" s="263"/>
      <c r="I23" s="465"/>
    </row>
    <row r="24" spans="1:9" x14ac:dyDescent="0.25">
      <c r="A24" s="293"/>
      <c r="B24" s="387" t="s">
        <v>220</v>
      </c>
      <c r="C24" s="261"/>
      <c r="D24" s="429">
        <v>5.0000000000000001E-3</v>
      </c>
      <c r="E24" s="260"/>
      <c r="F24" s="261">
        <f>VLOOKUP($B24,HSU!$B$6:$D$38,3,FALSE)</f>
        <v>85000</v>
      </c>
      <c r="G24" s="262">
        <f>D24*F24</f>
        <v>425</v>
      </c>
      <c r="H24" s="263"/>
      <c r="I24" s="465"/>
    </row>
    <row r="25" spans="1:9" x14ac:dyDescent="0.25">
      <c r="A25" s="294"/>
      <c r="B25" s="388" t="s">
        <v>222</v>
      </c>
      <c r="C25" s="274"/>
      <c r="D25" s="424"/>
      <c r="E25" s="273"/>
      <c r="F25" s="274"/>
      <c r="G25" s="275">
        <f>SUM(G18:G24)</f>
        <v>69390.711200000005</v>
      </c>
      <c r="H25" s="275">
        <f>SUM(H18:H24)</f>
        <v>0</v>
      </c>
      <c r="I25" s="459">
        <f>G25</f>
        <v>69390.711200000005</v>
      </c>
    </row>
    <row r="26" spans="1:9" x14ac:dyDescent="0.25">
      <c r="A26" s="295"/>
      <c r="B26" s="389" t="s">
        <v>229</v>
      </c>
      <c r="C26" s="279"/>
      <c r="D26" s="425"/>
      <c r="E26" s="278"/>
      <c r="F26" s="279"/>
      <c r="G26" s="280"/>
      <c r="H26" s="281"/>
      <c r="I26" s="460">
        <f>I25*0.15</f>
        <v>10408.606680000001</v>
      </c>
    </row>
    <row r="27" spans="1:9" x14ac:dyDescent="0.25">
      <c r="A27" s="295"/>
      <c r="B27" s="389" t="s">
        <v>222</v>
      </c>
      <c r="C27" s="279"/>
      <c r="D27" s="426"/>
      <c r="E27" s="278"/>
      <c r="F27" s="279"/>
      <c r="G27" s="262"/>
      <c r="H27" s="281"/>
      <c r="I27" s="461">
        <f>I25+I26</f>
        <v>79799.317880000002</v>
      </c>
    </row>
    <row r="28" spans="1:9" x14ac:dyDescent="0.25">
      <c r="A28" s="296"/>
      <c r="B28" s="390" t="s">
        <v>230</v>
      </c>
      <c r="C28" s="284"/>
      <c r="D28" s="427"/>
      <c r="E28" s="283"/>
      <c r="F28" s="284"/>
      <c r="G28" s="285"/>
      <c r="H28" s="286"/>
      <c r="I28" s="462">
        <f>ROUNDUP(I27,-2)</f>
        <v>79800</v>
      </c>
    </row>
    <row r="29" spans="1:9" ht="15.75" thickBot="1" x14ac:dyDescent="0.3">
      <c r="I29" s="463"/>
    </row>
    <row r="30" spans="1:9" ht="16.5" thickTop="1" thickBot="1" x14ac:dyDescent="0.3">
      <c r="A30" s="253" t="s">
        <v>3</v>
      </c>
      <c r="B30" s="381" t="s">
        <v>1375</v>
      </c>
      <c r="C30" s="376" t="s">
        <v>1370</v>
      </c>
      <c r="D30" s="418" t="s">
        <v>1371</v>
      </c>
      <c r="E30" s="376" t="s">
        <v>1372</v>
      </c>
      <c r="F30" s="376" t="s">
        <v>1374</v>
      </c>
      <c r="G30" s="254" t="s">
        <v>1373</v>
      </c>
      <c r="H30" s="255"/>
      <c r="I30" s="455" t="s">
        <v>222</v>
      </c>
    </row>
    <row r="31" spans="1:9" ht="16.5" thickTop="1" thickBot="1" x14ac:dyDescent="0.3">
      <c r="A31" s="256" t="s">
        <v>223</v>
      </c>
      <c r="B31" s="382" t="s">
        <v>224</v>
      </c>
      <c r="C31" s="340" t="s">
        <v>225</v>
      </c>
      <c r="D31" s="419" t="s">
        <v>226</v>
      </c>
      <c r="E31" s="340" t="s">
        <v>1376</v>
      </c>
      <c r="F31" s="257" t="s">
        <v>1377</v>
      </c>
      <c r="G31" s="340" t="s">
        <v>1378</v>
      </c>
      <c r="H31" s="257" t="s">
        <v>1377</v>
      </c>
      <c r="I31" s="456" t="s">
        <v>1379</v>
      </c>
    </row>
    <row r="32" spans="1:9" ht="15.75" thickTop="1" x14ac:dyDescent="0.25">
      <c r="A32" s="297"/>
      <c r="B32" s="393"/>
      <c r="C32" s="343"/>
      <c r="D32" s="431"/>
      <c r="E32" s="298"/>
      <c r="F32" s="299"/>
      <c r="G32" s="300"/>
      <c r="H32" s="301"/>
      <c r="I32" s="466"/>
    </row>
    <row r="33" spans="1:9" x14ac:dyDescent="0.25">
      <c r="A33" s="258"/>
      <c r="B33" s="394" t="s">
        <v>19</v>
      </c>
      <c r="C33" s="261"/>
      <c r="D33" s="432"/>
      <c r="E33" s="259"/>
      <c r="F33" s="302"/>
      <c r="G33" s="262"/>
      <c r="H33" s="303"/>
      <c r="I33" s="457"/>
    </row>
    <row r="34" spans="1:9" x14ac:dyDescent="0.25">
      <c r="A34" s="258"/>
      <c r="B34" s="395"/>
      <c r="C34" s="315"/>
      <c r="D34" s="417"/>
      <c r="E34" s="304"/>
      <c r="F34" s="305"/>
      <c r="G34" s="262"/>
      <c r="H34" s="303"/>
      <c r="I34" s="457"/>
    </row>
    <row r="35" spans="1:9" x14ac:dyDescent="0.25">
      <c r="A35" s="258">
        <v>3</v>
      </c>
      <c r="B35" s="396" t="s">
        <v>1144</v>
      </c>
      <c r="C35" s="261"/>
      <c r="D35" s="422">
        <v>1</v>
      </c>
      <c r="E35" s="265" t="s">
        <v>20</v>
      </c>
      <c r="F35" s="302"/>
      <c r="G35" s="262"/>
      <c r="H35" s="303"/>
      <c r="I35" s="457"/>
    </row>
    <row r="36" spans="1:9" x14ac:dyDescent="0.25">
      <c r="A36" s="258" t="s">
        <v>231</v>
      </c>
      <c r="B36" s="384" t="s">
        <v>217</v>
      </c>
      <c r="C36" s="261"/>
      <c r="D36" s="433">
        <v>0.56299999999999994</v>
      </c>
      <c r="E36" s="291" t="s">
        <v>228</v>
      </c>
      <c r="F36" s="261">
        <f>VLOOKUP($B36,HSU!$B$6:$D$38,3,FALSE)</f>
        <v>70000</v>
      </c>
      <c r="G36" s="267">
        <f>F36*D36</f>
        <v>39409.999999999993</v>
      </c>
      <c r="H36" s="303"/>
      <c r="I36" s="457"/>
    </row>
    <row r="37" spans="1:9" x14ac:dyDescent="0.25">
      <c r="A37" s="268"/>
      <c r="B37" s="386" t="s">
        <v>220</v>
      </c>
      <c r="C37" s="328"/>
      <c r="D37" s="434">
        <v>5.6300000000000003E-2</v>
      </c>
      <c r="E37" s="306" t="s">
        <v>228</v>
      </c>
      <c r="F37" s="261">
        <f>VLOOKUP($B37,HSU!$B$6:$D$38,3,FALSE)</f>
        <v>85000</v>
      </c>
      <c r="G37" s="267">
        <f>F37*D37</f>
        <v>4785.5</v>
      </c>
      <c r="H37" s="307"/>
      <c r="I37" s="458"/>
    </row>
    <row r="38" spans="1:9" x14ac:dyDescent="0.25">
      <c r="A38" s="272"/>
      <c r="B38" s="388" t="s">
        <v>222</v>
      </c>
      <c r="C38" s="274"/>
      <c r="D38" s="424"/>
      <c r="E38" s="273"/>
      <c r="F38" s="274"/>
      <c r="G38" s="275">
        <f>SUM(G36:G37)</f>
        <v>44195.499999999993</v>
      </c>
      <c r="H38" s="275">
        <f>SUM(H31:H37)</f>
        <v>0</v>
      </c>
      <c r="I38" s="459">
        <f>G38+H38</f>
        <v>44195.499999999993</v>
      </c>
    </row>
    <row r="39" spans="1:9" x14ac:dyDescent="0.25">
      <c r="A39" s="277"/>
      <c r="B39" s="389" t="s">
        <v>229</v>
      </c>
      <c r="C39" s="279"/>
      <c r="D39" s="425"/>
      <c r="E39" s="278"/>
      <c r="F39" s="279"/>
      <c r="G39" s="280"/>
      <c r="H39" s="281"/>
      <c r="I39" s="460">
        <f>I38*0.15</f>
        <v>6629.3249999999989</v>
      </c>
    </row>
    <row r="40" spans="1:9" x14ac:dyDescent="0.25">
      <c r="A40" s="277"/>
      <c r="B40" s="389" t="s">
        <v>222</v>
      </c>
      <c r="C40" s="279"/>
      <c r="D40" s="426"/>
      <c r="E40" s="278"/>
      <c r="F40" s="279"/>
      <c r="G40" s="262"/>
      <c r="H40" s="281"/>
      <c r="I40" s="461">
        <f>I38+I39</f>
        <v>50824.82499999999</v>
      </c>
    </row>
    <row r="41" spans="1:9" x14ac:dyDescent="0.25">
      <c r="A41" s="282"/>
      <c r="B41" s="390" t="s">
        <v>230</v>
      </c>
      <c r="C41" s="284"/>
      <c r="D41" s="427"/>
      <c r="E41" s="283"/>
      <c r="F41" s="284"/>
      <c r="G41" s="285"/>
      <c r="H41" s="286"/>
      <c r="I41" s="462">
        <f>ROUNDUP(I40,-2)</f>
        <v>50900</v>
      </c>
    </row>
    <row r="42" spans="1:9" x14ac:dyDescent="0.25">
      <c r="A42" s="308"/>
      <c r="B42" s="397"/>
      <c r="C42" s="310"/>
      <c r="D42" s="435"/>
      <c r="E42" s="309"/>
      <c r="F42" s="310"/>
      <c r="G42" s="311"/>
      <c r="H42" s="312"/>
      <c r="I42" s="467"/>
    </row>
    <row r="43" spans="1:9" x14ac:dyDescent="0.25">
      <c r="A43" s="258">
        <v>4</v>
      </c>
      <c r="B43" s="396" t="s">
        <v>1145</v>
      </c>
      <c r="C43" s="261"/>
      <c r="D43" s="422">
        <v>1</v>
      </c>
      <c r="E43" s="265" t="s">
        <v>20</v>
      </c>
      <c r="F43" s="302"/>
      <c r="G43" s="262"/>
      <c r="H43" s="303"/>
      <c r="I43" s="457"/>
    </row>
    <row r="44" spans="1:9" x14ac:dyDescent="0.25">
      <c r="A44" s="258" t="s">
        <v>231</v>
      </c>
      <c r="B44" s="384" t="s">
        <v>217</v>
      </c>
      <c r="C44" s="261"/>
      <c r="D44" s="433">
        <v>0.56299999999999994</v>
      </c>
      <c r="E44" s="291" t="s">
        <v>228</v>
      </c>
      <c r="F44" s="261">
        <f>VLOOKUP($B44,HSU!$B$6:$D$38,3,FALSE)</f>
        <v>70000</v>
      </c>
      <c r="G44" s="267">
        <f>F44*D44</f>
        <v>39409.999999999993</v>
      </c>
      <c r="H44" s="303"/>
      <c r="I44" s="457"/>
    </row>
    <row r="45" spans="1:9" x14ac:dyDescent="0.25">
      <c r="A45" s="268"/>
      <c r="B45" s="386" t="s">
        <v>220</v>
      </c>
      <c r="C45" s="328"/>
      <c r="D45" s="434">
        <v>5.6300000000000003E-2</v>
      </c>
      <c r="E45" s="306" t="s">
        <v>228</v>
      </c>
      <c r="F45" s="261">
        <f>VLOOKUP($B45,HSU!$B$6:$D$38,3,FALSE)</f>
        <v>85000</v>
      </c>
      <c r="G45" s="267">
        <f>F45*D45</f>
        <v>4785.5</v>
      </c>
      <c r="H45" s="307"/>
      <c r="I45" s="458"/>
    </row>
    <row r="46" spans="1:9" x14ac:dyDescent="0.25">
      <c r="A46" s="272"/>
      <c r="B46" s="388" t="s">
        <v>222</v>
      </c>
      <c r="C46" s="274"/>
      <c r="D46" s="424"/>
      <c r="E46" s="273"/>
      <c r="F46" s="274"/>
      <c r="G46" s="275">
        <f>SUM(G44:G45)</f>
        <v>44195.499999999993</v>
      </c>
      <c r="H46" s="275">
        <f>SUM(H39:H45)</f>
        <v>0</v>
      </c>
      <c r="I46" s="459">
        <f>G46+H46</f>
        <v>44195.499999999993</v>
      </c>
    </row>
    <row r="47" spans="1:9" x14ac:dyDescent="0.25">
      <c r="A47" s="277"/>
      <c r="B47" s="389" t="s">
        <v>229</v>
      </c>
      <c r="C47" s="279"/>
      <c r="D47" s="425"/>
      <c r="E47" s="278"/>
      <c r="F47" s="279"/>
      <c r="G47" s="280"/>
      <c r="H47" s="281"/>
      <c r="I47" s="460">
        <f>I46*0.15</f>
        <v>6629.3249999999989</v>
      </c>
    </row>
    <row r="48" spans="1:9" x14ac:dyDescent="0.25">
      <c r="A48" s="277"/>
      <c r="B48" s="389" t="s">
        <v>222</v>
      </c>
      <c r="C48" s="279"/>
      <c r="D48" s="426"/>
      <c r="E48" s="278"/>
      <c r="F48" s="279"/>
      <c r="G48" s="262"/>
      <c r="H48" s="281"/>
      <c r="I48" s="461">
        <f>I46+I47</f>
        <v>50824.82499999999</v>
      </c>
    </row>
    <row r="49" spans="1:9" x14ac:dyDescent="0.25">
      <c r="A49" s="282"/>
      <c r="B49" s="390" t="s">
        <v>230</v>
      </c>
      <c r="C49" s="284"/>
      <c r="D49" s="427"/>
      <c r="E49" s="283"/>
      <c r="F49" s="284"/>
      <c r="G49" s="285"/>
      <c r="H49" s="286"/>
      <c r="I49" s="462">
        <f>ROUNDUP(I48,-2)</f>
        <v>50900</v>
      </c>
    </row>
    <row r="50" spans="1:9" ht="16.5" x14ac:dyDescent="0.35">
      <c r="A50" s="272">
        <v>5</v>
      </c>
      <c r="B50" s="398" t="s">
        <v>1147</v>
      </c>
      <c r="C50" s="274"/>
      <c r="D50" s="428">
        <v>1</v>
      </c>
      <c r="E50" s="288" t="s">
        <v>20</v>
      </c>
      <c r="F50" s="274"/>
      <c r="G50" s="275"/>
      <c r="H50" s="276"/>
      <c r="I50" s="459"/>
    </row>
    <row r="51" spans="1:9" x14ac:dyDescent="0.25">
      <c r="A51" s="258" t="s">
        <v>231</v>
      </c>
      <c r="B51" s="395" t="s">
        <v>217</v>
      </c>
      <c r="C51" s="261"/>
      <c r="D51" s="429">
        <v>0.5</v>
      </c>
      <c r="E51" s="291" t="s">
        <v>228</v>
      </c>
      <c r="F51" s="261">
        <f>VLOOKUP($B51,HSU!$B$6:$D$38,3,FALSE)</f>
        <v>70000</v>
      </c>
      <c r="G51" s="267">
        <f>D51*F51</f>
        <v>35000</v>
      </c>
      <c r="H51" s="263"/>
      <c r="I51" s="457"/>
    </row>
    <row r="52" spans="1:9" x14ac:dyDescent="0.25">
      <c r="A52" s="313"/>
      <c r="B52" s="387" t="s">
        <v>220</v>
      </c>
      <c r="C52" s="328"/>
      <c r="D52" s="434">
        <v>0.05</v>
      </c>
      <c r="E52" s="306" t="s">
        <v>228</v>
      </c>
      <c r="F52" s="261">
        <f>VLOOKUP($B52,HSU!$B$6:$D$38,3,FALSE)</f>
        <v>85000</v>
      </c>
      <c r="G52" s="314">
        <f>D52*F52</f>
        <v>4250</v>
      </c>
      <c r="H52" s="307"/>
      <c r="I52" s="458"/>
    </row>
    <row r="53" spans="1:9" x14ac:dyDescent="0.25">
      <c r="A53" s="272"/>
      <c r="B53" s="388" t="s">
        <v>222</v>
      </c>
      <c r="C53" s="274"/>
      <c r="D53" s="424"/>
      <c r="E53" s="273"/>
      <c r="F53" s="274"/>
      <c r="G53" s="275">
        <f>SUM(G51:G52)</f>
        <v>39250</v>
      </c>
      <c r="H53" s="275">
        <f>SUM(H46:H52)</f>
        <v>0</v>
      </c>
      <c r="I53" s="459">
        <f>G53+H53</f>
        <v>39250</v>
      </c>
    </row>
    <row r="54" spans="1:9" x14ac:dyDescent="0.25">
      <c r="A54" s="277"/>
      <c r="B54" s="389" t="s">
        <v>229</v>
      </c>
      <c r="C54" s="279"/>
      <c r="D54" s="425"/>
      <c r="E54" s="278"/>
      <c r="F54" s="279"/>
      <c r="G54" s="280"/>
      <c r="H54" s="281"/>
      <c r="I54" s="460">
        <f>I53*0.15</f>
        <v>5887.5</v>
      </c>
    </row>
    <row r="55" spans="1:9" x14ac:dyDescent="0.25">
      <c r="A55" s="277"/>
      <c r="B55" s="389" t="s">
        <v>222</v>
      </c>
      <c r="C55" s="279"/>
      <c r="D55" s="426"/>
      <c r="E55" s="278"/>
      <c r="F55" s="279"/>
      <c r="G55" s="262"/>
      <c r="H55" s="281"/>
      <c r="I55" s="461">
        <f>I53+I54</f>
        <v>45137.5</v>
      </c>
    </row>
    <row r="56" spans="1:9" x14ac:dyDescent="0.25">
      <c r="A56" s="282"/>
      <c r="B56" s="390" t="s">
        <v>230</v>
      </c>
      <c r="C56" s="284"/>
      <c r="D56" s="427"/>
      <c r="E56" s="283"/>
      <c r="F56" s="284"/>
      <c r="G56" s="285"/>
      <c r="H56" s="286"/>
      <c r="I56" s="462">
        <f>ROUNDUP(I55,-2)</f>
        <v>45200</v>
      </c>
    </row>
    <row r="57" spans="1:9" x14ac:dyDescent="0.25">
      <c r="A57" s="308"/>
      <c r="B57" s="399"/>
      <c r="C57" s="315"/>
      <c r="D57" s="436"/>
      <c r="E57" s="251"/>
      <c r="F57" s="315"/>
      <c r="G57" s="316"/>
      <c r="H57" s="317"/>
      <c r="I57" s="468"/>
    </row>
    <row r="58" spans="1:9" x14ac:dyDescent="0.25">
      <c r="A58" s="258">
        <v>6</v>
      </c>
      <c r="B58" s="385" t="s">
        <v>1140</v>
      </c>
      <c r="C58" s="261"/>
      <c r="D58" s="422">
        <v>1</v>
      </c>
      <c r="E58" s="265" t="s">
        <v>20</v>
      </c>
      <c r="F58" s="261"/>
      <c r="G58" s="262"/>
      <c r="H58" s="263"/>
      <c r="I58" s="457"/>
    </row>
    <row r="59" spans="1:9" ht="15.75" x14ac:dyDescent="0.25">
      <c r="A59" s="258" t="s">
        <v>231</v>
      </c>
      <c r="B59" s="384" t="s">
        <v>1141</v>
      </c>
      <c r="C59" s="261"/>
      <c r="D59" s="421">
        <v>1.2</v>
      </c>
      <c r="E59" s="291" t="s">
        <v>1369</v>
      </c>
      <c r="F59" s="261">
        <f>HSM!E25</f>
        <v>129000</v>
      </c>
      <c r="G59" s="263">
        <f>D59*F59</f>
        <v>154800</v>
      </c>
      <c r="I59" s="457"/>
    </row>
    <row r="60" spans="1:9" x14ac:dyDescent="0.25">
      <c r="A60" s="258"/>
      <c r="B60" s="384" t="s">
        <v>217</v>
      </c>
      <c r="C60" s="261"/>
      <c r="D60" s="421">
        <v>0.3</v>
      </c>
      <c r="E60" s="291" t="s">
        <v>228</v>
      </c>
      <c r="F60" s="261">
        <f>VLOOKUP($B60,HSU!$B$6:$D$38,3,FALSE)</f>
        <v>70000</v>
      </c>
      <c r="G60" s="267">
        <f>D60*F60</f>
        <v>21000</v>
      </c>
      <c r="H60" s="263"/>
      <c r="I60" s="457"/>
    </row>
    <row r="61" spans="1:9" x14ac:dyDescent="0.25">
      <c r="A61" s="268"/>
      <c r="B61" s="386" t="s">
        <v>220</v>
      </c>
      <c r="C61" s="328"/>
      <c r="D61" s="423">
        <v>0.01</v>
      </c>
      <c r="E61" s="306" t="s">
        <v>228</v>
      </c>
      <c r="F61" s="261">
        <f>VLOOKUP($B61,HSU!$B$6:$D$38,3,FALSE)</f>
        <v>85000</v>
      </c>
      <c r="G61" s="314">
        <f>D61*F61</f>
        <v>850</v>
      </c>
      <c r="H61" s="271"/>
      <c r="I61" s="469"/>
    </row>
    <row r="62" spans="1:9" x14ac:dyDescent="0.25">
      <c r="A62" s="272"/>
      <c r="B62" s="388" t="s">
        <v>222</v>
      </c>
      <c r="C62" s="274"/>
      <c r="D62" s="424"/>
      <c r="E62" s="273"/>
      <c r="F62" s="274"/>
      <c r="G62" s="275">
        <f>SUM(G59:G61)</f>
        <v>176650</v>
      </c>
      <c r="H62" s="275">
        <f>SUM(H55:H61)</f>
        <v>0</v>
      </c>
      <c r="I62" s="459">
        <f>G62+H62</f>
        <v>176650</v>
      </c>
    </row>
    <row r="63" spans="1:9" x14ac:dyDescent="0.25">
      <c r="A63" s="277"/>
      <c r="B63" s="389" t="s">
        <v>229</v>
      </c>
      <c r="C63" s="279"/>
      <c r="D63" s="425"/>
      <c r="E63" s="278"/>
      <c r="F63" s="279"/>
      <c r="G63" s="280"/>
      <c r="H63" s="281"/>
      <c r="I63" s="460">
        <f>I62*0.15</f>
        <v>26497.5</v>
      </c>
    </row>
    <row r="64" spans="1:9" x14ac:dyDescent="0.25">
      <c r="A64" s="277"/>
      <c r="B64" s="389" t="s">
        <v>222</v>
      </c>
      <c r="C64" s="279"/>
      <c r="D64" s="426"/>
      <c r="E64" s="278"/>
      <c r="F64" s="279"/>
      <c r="G64" s="262"/>
      <c r="H64" s="281"/>
      <c r="I64" s="461">
        <f>I62+I63</f>
        <v>203147.5</v>
      </c>
    </row>
    <row r="65" spans="1:9" x14ac:dyDescent="0.25">
      <c r="A65" s="282"/>
      <c r="B65" s="390" t="s">
        <v>230</v>
      </c>
      <c r="C65" s="284"/>
      <c r="D65" s="427"/>
      <c r="E65" s="283"/>
      <c r="F65" s="284"/>
      <c r="G65" s="285"/>
      <c r="H65" s="286"/>
      <c r="I65" s="462">
        <f>ROUNDUP(I64,-2)</f>
        <v>203200</v>
      </c>
    </row>
    <row r="66" spans="1:9" x14ac:dyDescent="0.25">
      <c r="A66" s="308"/>
      <c r="B66" s="399"/>
      <c r="C66" s="315"/>
      <c r="D66" s="436"/>
      <c r="E66" s="251"/>
      <c r="F66" s="315"/>
      <c r="G66" s="316"/>
      <c r="H66" s="317"/>
      <c r="I66" s="468"/>
    </row>
    <row r="67" spans="1:9" x14ac:dyDescent="0.25">
      <c r="A67" s="258">
        <v>7</v>
      </c>
      <c r="B67" s="385" t="s">
        <v>1142</v>
      </c>
      <c r="C67" s="261"/>
      <c r="D67" s="422">
        <v>1</v>
      </c>
      <c r="E67" s="265" t="s">
        <v>20</v>
      </c>
      <c r="F67" s="261"/>
      <c r="G67" s="262"/>
      <c r="H67" s="263"/>
      <c r="I67" s="457"/>
    </row>
    <row r="68" spans="1:9" ht="15.75" x14ac:dyDescent="0.25">
      <c r="A68" s="258" t="s">
        <v>231</v>
      </c>
      <c r="B68" s="384" t="s">
        <v>1143</v>
      </c>
      <c r="C68" s="261"/>
      <c r="D68" s="421">
        <v>1.2</v>
      </c>
      <c r="E68" s="291" t="s">
        <v>1369</v>
      </c>
      <c r="F68" s="261">
        <f>HSM!E18</f>
        <v>234000</v>
      </c>
      <c r="G68" s="263">
        <f>D68*F68</f>
        <v>280800</v>
      </c>
      <c r="I68" s="457"/>
    </row>
    <row r="69" spans="1:9" x14ac:dyDescent="0.25">
      <c r="A69" s="258"/>
      <c r="B69" s="384" t="s">
        <v>217</v>
      </c>
      <c r="C69" s="261"/>
      <c r="D69" s="421">
        <v>0.3</v>
      </c>
      <c r="E69" s="291" t="s">
        <v>228</v>
      </c>
      <c r="F69" s="261">
        <f>VLOOKUP($B69,HSU!$B$6:$D$38,3,FALSE)</f>
        <v>70000</v>
      </c>
      <c r="G69" s="267">
        <f>D69*F69</f>
        <v>21000</v>
      </c>
      <c r="H69" s="263"/>
      <c r="I69" s="457"/>
    </row>
    <row r="70" spans="1:9" x14ac:dyDescent="0.25">
      <c r="A70" s="268"/>
      <c r="B70" s="386" t="s">
        <v>220</v>
      </c>
      <c r="C70" s="328"/>
      <c r="D70" s="423">
        <v>0.01</v>
      </c>
      <c r="E70" s="306" t="s">
        <v>228</v>
      </c>
      <c r="F70" s="261">
        <f>VLOOKUP($B70,HSU!$B$6:$D$38,3,FALSE)</f>
        <v>85000</v>
      </c>
      <c r="G70" s="314">
        <f>D70*F70</f>
        <v>850</v>
      </c>
      <c r="H70" s="271"/>
      <c r="I70" s="458"/>
    </row>
    <row r="71" spans="1:9" x14ac:dyDescent="0.25">
      <c r="A71" s="272"/>
      <c r="B71" s="388" t="s">
        <v>222</v>
      </c>
      <c r="C71" s="274"/>
      <c r="D71" s="424"/>
      <c r="E71" s="273"/>
      <c r="F71" s="274"/>
      <c r="G71" s="275">
        <f>SUM(G68:G70)</f>
        <v>302650</v>
      </c>
      <c r="H71" s="275">
        <f>SUM(H64:H70)</f>
        <v>0</v>
      </c>
      <c r="I71" s="459">
        <f>G71+H71</f>
        <v>302650</v>
      </c>
    </row>
    <row r="72" spans="1:9" x14ac:dyDescent="0.25">
      <c r="A72" s="277"/>
      <c r="B72" s="389" t="s">
        <v>229</v>
      </c>
      <c r="C72" s="279"/>
      <c r="D72" s="425"/>
      <c r="E72" s="278"/>
      <c r="F72" s="279"/>
      <c r="G72" s="280"/>
      <c r="H72" s="281"/>
      <c r="I72" s="460">
        <f>I71*0.15</f>
        <v>45397.5</v>
      </c>
    </row>
    <row r="73" spans="1:9" x14ac:dyDescent="0.25">
      <c r="A73" s="277"/>
      <c r="B73" s="389" t="s">
        <v>222</v>
      </c>
      <c r="C73" s="279"/>
      <c r="D73" s="426"/>
      <c r="E73" s="278"/>
      <c r="F73" s="279"/>
      <c r="G73" s="262"/>
      <c r="H73" s="281"/>
      <c r="I73" s="461">
        <f>I71+I72</f>
        <v>348047.5</v>
      </c>
    </row>
    <row r="74" spans="1:9" x14ac:dyDescent="0.25">
      <c r="A74" s="282"/>
      <c r="B74" s="390" t="s">
        <v>230</v>
      </c>
      <c r="C74" s="284"/>
      <c r="D74" s="427"/>
      <c r="E74" s="283"/>
      <c r="F74" s="284"/>
      <c r="G74" s="285"/>
      <c r="H74" s="286"/>
      <c r="I74" s="462">
        <f>ROUNDUP(I73,-2)</f>
        <v>348100</v>
      </c>
    </row>
    <row r="75" spans="1:9" x14ac:dyDescent="0.25">
      <c r="A75" s="308"/>
      <c r="B75" s="400"/>
      <c r="C75" s="310"/>
      <c r="D75" s="435"/>
      <c r="E75" s="309"/>
      <c r="F75" s="310"/>
      <c r="G75" s="311"/>
      <c r="H75" s="312"/>
      <c r="I75" s="467"/>
    </row>
    <row r="76" spans="1:9" x14ac:dyDescent="0.25">
      <c r="A76" s="294">
        <v>8</v>
      </c>
      <c r="B76" s="401" t="s">
        <v>1146</v>
      </c>
      <c r="C76" s="274"/>
      <c r="D76" s="428">
        <v>1</v>
      </c>
      <c r="E76" s="288" t="s">
        <v>20</v>
      </c>
      <c r="F76" s="274"/>
      <c r="G76" s="275"/>
      <c r="H76" s="276"/>
      <c r="I76" s="459"/>
    </row>
    <row r="77" spans="1:9" ht="15.75" x14ac:dyDescent="0.25">
      <c r="A77" s="293" t="s">
        <v>231</v>
      </c>
      <c r="B77" s="384" t="s">
        <v>1143</v>
      </c>
      <c r="C77" s="261"/>
      <c r="D77" s="421">
        <v>1.2</v>
      </c>
      <c r="E77" s="291" t="s">
        <v>1369</v>
      </c>
      <c r="F77" s="261">
        <f>HSM!E18</f>
        <v>234000</v>
      </c>
      <c r="G77" s="263">
        <f>D77*F77</f>
        <v>280800</v>
      </c>
      <c r="I77" s="457"/>
    </row>
    <row r="78" spans="1:9" x14ac:dyDescent="0.25">
      <c r="A78" s="293"/>
      <c r="B78" s="384" t="s">
        <v>217</v>
      </c>
      <c r="C78" s="261"/>
      <c r="D78" s="421">
        <v>0.3</v>
      </c>
      <c r="E78" s="291" t="s">
        <v>228</v>
      </c>
      <c r="F78" s="261">
        <f>VLOOKUP($B78,HSU!$B$6:$D$38,3,FALSE)</f>
        <v>70000</v>
      </c>
      <c r="G78" s="267">
        <f>D78*F78</f>
        <v>21000</v>
      </c>
      <c r="H78" s="263"/>
      <c r="I78" s="457"/>
    </row>
    <row r="79" spans="1:9" x14ac:dyDescent="0.25">
      <c r="A79" s="318"/>
      <c r="B79" s="386" t="s">
        <v>220</v>
      </c>
      <c r="C79" s="328"/>
      <c r="D79" s="423">
        <v>0.01</v>
      </c>
      <c r="E79" s="306" t="s">
        <v>228</v>
      </c>
      <c r="F79" s="261">
        <f>VLOOKUP($B79,HSU!$B$6:$D$38,3,FALSE)</f>
        <v>85000</v>
      </c>
      <c r="G79" s="314">
        <f>D79*F79</f>
        <v>850</v>
      </c>
      <c r="H79" s="271"/>
      <c r="I79" s="458"/>
    </row>
    <row r="80" spans="1:9" x14ac:dyDescent="0.25">
      <c r="A80" s="272"/>
      <c r="B80" s="388" t="s">
        <v>222</v>
      </c>
      <c r="C80" s="274"/>
      <c r="D80" s="424"/>
      <c r="E80" s="273"/>
      <c r="F80" s="274"/>
      <c r="G80" s="275">
        <f>SUM(G77:G79)</f>
        <v>302650</v>
      </c>
      <c r="H80" s="275">
        <f>SUM(H73:H79)</f>
        <v>0</v>
      </c>
      <c r="I80" s="459">
        <f>G80+H80</f>
        <v>302650</v>
      </c>
    </row>
    <row r="81" spans="1:9" x14ac:dyDescent="0.25">
      <c r="A81" s="277"/>
      <c r="B81" s="389" t="s">
        <v>229</v>
      </c>
      <c r="C81" s="279"/>
      <c r="D81" s="425"/>
      <c r="E81" s="278"/>
      <c r="F81" s="279"/>
      <c r="G81" s="280"/>
      <c r="H81" s="281"/>
      <c r="I81" s="460">
        <f>I80*0.15</f>
        <v>45397.5</v>
      </c>
    </row>
    <row r="82" spans="1:9" x14ac:dyDescent="0.25">
      <c r="A82" s="277"/>
      <c r="B82" s="389" t="s">
        <v>222</v>
      </c>
      <c r="C82" s="279"/>
      <c r="D82" s="426"/>
      <c r="E82" s="278"/>
      <c r="F82" s="279"/>
      <c r="G82" s="262"/>
      <c r="H82" s="281"/>
      <c r="I82" s="461">
        <f>I80+I81</f>
        <v>348047.5</v>
      </c>
    </row>
    <row r="83" spans="1:9" x14ac:dyDescent="0.25">
      <c r="A83" s="282"/>
      <c r="B83" s="390" t="s">
        <v>230</v>
      </c>
      <c r="C83" s="284"/>
      <c r="D83" s="427"/>
      <c r="E83" s="283"/>
      <c r="F83" s="284"/>
      <c r="G83" s="285"/>
      <c r="H83" s="286"/>
      <c r="I83" s="462">
        <f>ROUNDUP(I82,-2)</f>
        <v>348100</v>
      </c>
    </row>
    <row r="84" spans="1:9" ht="15.75" thickBot="1" x14ac:dyDescent="0.3">
      <c r="I84" s="463"/>
    </row>
    <row r="85" spans="1:9" ht="16.5" thickTop="1" thickBot="1" x14ac:dyDescent="0.3">
      <c r="A85" s="253" t="s">
        <v>3</v>
      </c>
      <c r="B85" s="381" t="s">
        <v>1375</v>
      </c>
      <c r="C85" s="376" t="s">
        <v>1370</v>
      </c>
      <c r="D85" s="418" t="s">
        <v>1371</v>
      </c>
      <c r="E85" s="376" t="s">
        <v>1372</v>
      </c>
      <c r="F85" s="376" t="s">
        <v>1374</v>
      </c>
      <c r="G85" s="254" t="s">
        <v>1373</v>
      </c>
      <c r="H85" s="255"/>
      <c r="I85" s="455" t="s">
        <v>222</v>
      </c>
    </row>
    <row r="86" spans="1:9" ht="16.5" thickTop="1" thickBot="1" x14ac:dyDescent="0.3">
      <c r="A86" s="256" t="s">
        <v>223</v>
      </c>
      <c r="B86" s="382" t="s">
        <v>224</v>
      </c>
      <c r="C86" s="340" t="s">
        <v>225</v>
      </c>
      <c r="D86" s="419" t="s">
        <v>226</v>
      </c>
      <c r="E86" s="340" t="s">
        <v>1376</v>
      </c>
      <c r="F86" s="257" t="s">
        <v>1377</v>
      </c>
      <c r="G86" s="340" t="s">
        <v>1378</v>
      </c>
      <c r="H86" s="257" t="s">
        <v>1377</v>
      </c>
      <c r="I86" s="456" t="s">
        <v>1379</v>
      </c>
    </row>
    <row r="87" spans="1:9" ht="15.75" thickTop="1" x14ac:dyDescent="0.25">
      <c r="A87" s="277"/>
      <c r="B87" s="402"/>
      <c r="C87" s="279"/>
      <c r="D87" s="437"/>
      <c r="E87" s="278"/>
      <c r="F87" s="279"/>
      <c r="G87" s="280"/>
      <c r="H87" s="281"/>
      <c r="I87" s="461"/>
    </row>
    <row r="88" spans="1:9" x14ac:dyDescent="0.25">
      <c r="A88" s="258"/>
      <c r="B88" s="403" t="s">
        <v>1148</v>
      </c>
      <c r="C88" s="261"/>
      <c r="D88" s="438"/>
      <c r="E88" s="259"/>
      <c r="F88" s="261"/>
      <c r="G88" s="267"/>
      <c r="H88" s="263"/>
      <c r="I88" s="457"/>
    </row>
    <row r="89" spans="1:9" x14ac:dyDescent="0.25">
      <c r="A89" s="258"/>
      <c r="B89" s="384"/>
      <c r="C89" s="261"/>
      <c r="D89" s="439"/>
      <c r="E89" s="259"/>
      <c r="F89" s="261"/>
      <c r="G89" s="262"/>
      <c r="H89" s="263"/>
      <c r="I89" s="457"/>
    </row>
    <row r="90" spans="1:9" ht="26.25" x14ac:dyDescent="0.25">
      <c r="A90" s="258">
        <v>9</v>
      </c>
      <c r="B90" s="385" t="s">
        <v>1149</v>
      </c>
      <c r="C90" s="319"/>
      <c r="D90" s="422">
        <v>1</v>
      </c>
      <c r="E90" s="265" t="s">
        <v>20</v>
      </c>
      <c r="F90" s="319"/>
      <c r="G90" s="262"/>
      <c r="H90" s="263"/>
      <c r="I90" s="457"/>
    </row>
    <row r="91" spans="1:9" x14ac:dyDescent="0.25">
      <c r="A91" s="258" t="s">
        <v>231</v>
      </c>
      <c r="B91" s="384" t="s">
        <v>1150</v>
      </c>
      <c r="C91" s="261"/>
      <c r="D91" s="421">
        <v>1.2</v>
      </c>
      <c r="E91" s="259" t="s">
        <v>20</v>
      </c>
      <c r="F91" s="261">
        <f>HSM!E34</f>
        <v>211400</v>
      </c>
      <c r="G91" s="263">
        <f>D91*F91</f>
        <v>253680</v>
      </c>
      <c r="I91" s="457"/>
    </row>
    <row r="92" spans="1:9" x14ac:dyDescent="0.25">
      <c r="A92" s="264"/>
      <c r="B92" s="384" t="s">
        <v>1151</v>
      </c>
      <c r="C92" s="261"/>
      <c r="D92" s="421">
        <v>61</v>
      </c>
      <c r="E92" s="259" t="s">
        <v>38</v>
      </c>
      <c r="F92" s="261">
        <f>HSM!E484/40</f>
        <v>1350</v>
      </c>
      <c r="G92" s="263">
        <f>D92*F92</f>
        <v>82350</v>
      </c>
      <c r="I92" s="457"/>
    </row>
    <row r="93" spans="1:9" x14ac:dyDescent="0.25">
      <c r="A93" s="264"/>
      <c r="B93" s="384" t="s">
        <v>1079</v>
      </c>
      <c r="C93" s="261"/>
      <c r="D93" s="421">
        <v>0.14699999999999999</v>
      </c>
      <c r="E93" s="259" t="s">
        <v>20</v>
      </c>
      <c r="F93" s="261">
        <f>HSM!E858</f>
        <v>147000</v>
      </c>
      <c r="G93" s="263">
        <f>D93*F93</f>
        <v>21609</v>
      </c>
      <c r="I93" s="457"/>
    </row>
    <row r="94" spans="1:9" x14ac:dyDescent="0.25">
      <c r="A94" s="258"/>
      <c r="B94" s="384" t="s">
        <v>1152</v>
      </c>
      <c r="C94" s="261"/>
      <c r="D94" s="421">
        <v>0.49199999999999999</v>
      </c>
      <c r="E94" s="259" t="s">
        <v>20</v>
      </c>
      <c r="F94" s="261">
        <f>HSM!E27</f>
        <v>97200</v>
      </c>
      <c r="G94" s="263">
        <f>D94*F94</f>
        <v>47822.400000000001</v>
      </c>
      <c r="I94" s="457"/>
    </row>
    <row r="95" spans="1:9" x14ac:dyDescent="0.25">
      <c r="A95" s="258"/>
      <c r="B95" s="384" t="s">
        <v>217</v>
      </c>
      <c r="C95" s="261"/>
      <c r="D95" s="421">
        <v>1.5</v>
      </c>
      <c r="E95" s="259" t="s">
        <v>228</v>
      </c>
      <c r="F95" s="261">
        <f>VLOOKUP($B95,HSU!$B$6:$D$38,3,FALSE)</f>
        <v>70000</v>
      </c>
      <c r="G95" s="267">
        <f>D95*F95</f>
        <v>105000</v>
      </c>
      <c r="H95" s="263"/>
      <c r="I95" s="457"/>
    </row>
    <row r="96" spans="1:9" x14ac:dyDescent="0.25">
      <c r="A96" s="258"/>
      <c r="B96" s="384" t="s">
        <v>1153</v>
      </c>
      <c r="C96" s="261"/>
      <c r="D96" s="421">
        <v>0.75</v>
      </c>
      <c r="E96" s="259" t="s">
        <v>228</v>
      </c>
      <c r="F96" s="261">
        <f>VLOOKUP($B96,HSU!$B$6:$D$38,3,FALSE)</f>
        <v>80000</v>
      </c>
      <c r="G96" s="267">
        <f>D96*F96</f>
        <v>60000</v>
      </c>
      <c r="H96" s="263"/>
      <c r="I96" s="457"/>
    </row>
    <row r="97" spans="1:9" x14ac:dyDescent="0.25">
      <c r="A97" s="258"/>
      <c r="B97" s="384" t="s">
        <v>1161</v>
      </c>
      <c r="C97" s="328"/>
      <c r="D97" s="440">
        <v>7.4999999999999997E-2</v>
      </c>
      <c r="E97" s="259" t="s">
        <v>228</v>
      </c>
      <c r="F97" s="261">
        <f>VLOOKUP($B97,HSU!$B$6:$D$38,3,FALSE)</f>
        <v>85000</v>
      </c>
      <c r="G97" s="267">
        <f>D97*F97</f>
        <v>6375</v>
      </c>
      <c r="H97" s="263"/>
      <c r="I97" s="457"/>
    </row>
    <row r="98" spans="1:9" x14ac:dyDescent="0.25">
      <c r="A98" s="268"/>
      <c r="B98" s="386" t="s">
        <v>220</v>
      </c>
      <c r="C98" s="328"/>
      <c r="D98" s="440">
        <v>7.4999999999999997E-2</v>
      </c>
      <c r="E98" s="269" t="s">
        <v>228</v>
      </c>
      <c r="F98" s="261">
        <f>VLOOKUP($B98,HSU!$B$6:$D$38,3,FALSE)</f>
        <v>85000</v>
      </c>
      <c r="G98" s="314">
        <f>D98*F98</f>
        <v>6375</v>
      </c>
      <c r="H98" s="271"/>
      <c r="I98" s="458"/>
    </row>
    <row r="99" spans="1:9" x14ac:dyDescent="0.25">
      <c r="A99" s="272"/>
      <c r="B99" s="388" t="s">
        <v>222</v>
      </c>
      <c r="C99" s="274"/>
      <c r="D99" s="424"/>
      <c r="E99" s="273"/>
      <c r="F99" s="274"/>
      <c r="G99" s="275">
        <f>SUM(G91:G98)</f>
        <v>583211.4</v>
      </c>
      <c r="H99" s="276">
        <f>SUM(H91:H98)</f>
        <v>0</v>
      </c>
      <c r="I99" s="459">
        <f>G99+H99</f>
        <v>583211.4</v>
      </c>
    </row>
    <row r="100" spans="1:9" x14ac:dyDescent="0.25">
      <c r="A100" s="277"/>
      <c r="B100" s="389" t="s">
        <v>229</v>
      </c>
      <c r="C100" s="279"/>
      <c r="D100" s="425"/>
      <c r="E100" s="278"/>
      <c r="F100" s="279"/>
      <c r="G100" s="280"/>
      <c r="H100" s="281"/>
      <c r="I100" s="460">
        <f>I99*0.15</f>
        <v>87481.71</v>
      </c>
    </row>
    <row r="101" spans="1:9" x14ac:dyDescent="0.25">
      <c r="A101" s="277"/>
      <c r="B101" s="389" t="s">
        <v>222</v>
      </c>
      <c r="C101" s="279"/>
      <c r="D101" s="426"/>
      <c r="E101" s="278"/>
      <c r="F101" s="279"/>
      <c r="G101" s="262"/>
      <c r="H101" s="281"/>
      <c r="I101" s="461">
        <f>I99+I100</f>
        <v>670693.11</v>
      </c>
    </row>
    <row r="102" spans="1:9" x14ac:dyDescent="0.25">
      <c r="A102" s="282"/>
      <c r="B102" s="390" t="s">
        <v>230</v>
      </c>
      <c r="C102" s="284"/>
      <c r="D102" s="427"/>
      <c r="E102" s="283"/>
      <c r="F102" s="284"/>
      <c r="G102" s="285"/>
      <c r="H102" s="286"/>
      <c r="I102" s="462">
        <f>ROUNDUP(I101,-2)</f>
        <v>670700</v>
      </c>
    </row>
    <row r="103" spans="1:9" x14ac:dyDescent="0.25">
      <c r="A103" s="272"/>
      <c r="B103" s="404"/>
      <c r="C103" s="274"/>
      <c r="D103" s="424"/>
      <c r="E103" s="273"/>
      <c r="F103" s="274"/>
      <c r="G103" s="275"/>
      <c r="H103" s="263"/>
      <c r="I103" s="457"/>
    </row>
    <row r="104" spans="1:9" x14ac:dyDescent="0.25">
      <c r="A104" s="258">
        <v>10</v>
      </c>
      <c r="B104" s="385" t="s">
        <v>1154</v>
      </c>
      <c r="C104" s="261"/>
      <c r="D104" s="422">
        <v>1</v>
      </c>
      <c r="E104" s="265" t="s">
        <v>20</v>
      </c>
      <c r="F104" s="261"/>
      <c r="G104" s="262"/>
      <c r="H104" s="263"/>
      <c r="I104" s="457"/>
    </row>
    <row r="105" spans="1:9" ht="15.75" x14ac:dyDescent="0.25">
      <c r="A105" s="258" t="s">
        <v>231</v>
      </c>
      <c r="B105" s="384" t="s">
        <v>1162</v>
      </c>
      <c r="C105" s="261"/>
      <c r="D105" s="421">
        <v>1.2</v>
      </c>
      <c r="E105" s="259" t="s">
        <v>1369</v>
      </c>
      <c r="F105" s="261">
        <v>176000</v>
      </c>
      <c r="G105" s="263">
        <f>D105*F105</f>
        <v>211200</v>
      </c>
      <c r="I105" s="457"/>
    </row>
    <row r="106" spans="1:9" x14ac:dyDescent="0.25">
      <c r="A106" s="264"/>
      <c r="B106" s="384" t="s">
        <v>1143</v>
      </c>
      <c r="C106" s="261"/>
      <c r="D106" s="421">
        <v>0.3</v>
      </c>
      <c r="E106" s="259" t="s">
        <v>20</v>
      </c>
      <c r="F106" s="261">
        <f>HSM!E18</f>
        <v>234000</v>
      </c>
      <c r="G106" s="263">
        <f>D106*F106</f>
        <v>70200</v>
      </c>
      <c r="I106" s="458"/>
    </row>
    <row r="107" spans="1:9" x14ac:dyDescent="0.25">
      <c r="A107" s="258"/>
      <c r="B107" s="384" t="s">
        <v>217</v>
      </c>
      <c r="C107" s="261"/>
      <c r="D107" s="421">
        <v>0.78</v>
      </c>
      <c r="E107" s="259" t="s">
        <v>228</v>
      </c>
      <c r="F107" s="261">
        <f>VLOOKUP($B107,HSU!$B$6:$D$38,3,FALSE)</f>
        <v>70000</v>
      </c>
      <c r="G107" s="267">
        <f>D107*F107</f>
        <v>54600</v>
      </c>
      <c r="H107" s="267"/>
      <c r="I107" s="458"/>
    </row>
    <row r="108" spans="1:9" x14ac:dyDescent="0.25">
      <c r="A108" s="258"/>
      <c r="B108" s="384" t="s">
        <v>1153</v>
      </c>
      <c r="C108" s="261"/>
      <c r="D108" s="421">
        <v>0.39</v>
      </c>
      <c r="E108" s="259" t="s">
        <v>228</v>
      </c>
      <c r="F108" s="261">
        <f>VLOOKUP($B108,HSU!$B$6:$D$38,3,FALSE)</f>
        <v>80000</v>
      </c>
      <c r="G108" s="267">
        <f>D108*F108</f>
        <v>31200</v>
      </c>
      <c r="H108" s="267"/>
      <c r="I108" s="458"/>
    </row>
    <row r="109" spans="1:9" x14ac:dyDescent="0.25">
      <c r="A109" s="258"/>
      <c r="B109" s="384" t="s">
        <v>1161</v>
      </c>
      <c r="C109" s="261"/>
      <c r="D109" s="421">
        <v>3.9E-2</v>
      </c>
      <c r="E109" s="259" t="s">
        <v>228</v>
      </c>
      <c r="F109" s="261">
        <f>VLOOKUP($B109,HSU!$B$6:$D$38,3,FALSE)</f>
        <v>85000</v>
      </c>
      <c r="G109" s="267">
        <f>D109*F109</f>
        <v>3315</v>
      </c>
      <c r="H109" s="267"/>
      <c r="I109" s="458"/>
    </row>
    <row r="110" spans="1:9" x14ac:dyDescent="0.25">
      <c r="A110" s="268"/>
      <c r="B110" s="386" t="s">
        <v>220</v>
      </c>
      <c r="C110" s="328"/>
      <c r="D110" s="440">
        <v>3.9E-2</v>
      </c>
      <c r="E110" s="269" t="s">
        <v>228</v>
      </c>
      <c r="F110" s="261">
        <f>VLOOKUP($B110,HSU!$B$6:$D$38,3,FALSE)</f>
        <v>85000</v>
      </c>
      <c r="G110" s="314">
        <f>D110*F110</f>
        <v>3315</v>
      </c>
      <c r="H110" s="267"/>
      <c r="I110" s="458"/>
    </row>
    <row r="111" spans="1:9" x14ac:dyDescent="0.25">
      <c r="A111" s="272"/>
      <c r="B111" s="388" t="s">
        <v>222</v>
      </c>
      <c r="C111" s="274"/>
      <c r="D111" s="424"/>
      <c r="E111" s="273"/>
      <c r="F111" s="274"/>
      <c r="G111" s="275">
        <f>SUM(G105:G110)</f>
        <v>373830</v>
      </c>
      <c r="H111" s="275">
        <f>SUM(H105:H110)</f>
        <v>0</v>
      </c>
      <c r="I111" s="459">
        <f>G111+H111</f>
        <v>373830</v>
      </c>
    </row>
    <row r="112" spans="1:9" x14ac:dyDescent="0.25">
      <c r="A112" s="320"/>
      <c r="B112" s="389" t="s">
        <v>229</v>
      </c>
      <c r="C112" s="279"/>
      <c r="D112" s="425"/>
      <c r="E112" s="278"/>
      <c r="F112" s="279"/>
      <c r="G112" s="280"/>
      <c r="H112" s="281"/>
      <c r="I112" s="461">
        <f>I111*0.15</f>
        <v>56074.5</v>
      </c>
    </row>
    <row r="113" spans="1:9" x14ac:dyDescent="0.25">
      <c r="A113" s="320"/>
      <c r="B113" s="389" t="s">
        <v>222</v>
      </c>
      <c r="C113" s="279"/>
      <c r="D113" s="426"/>
      <c r="E113" s="278"/>
      <c r="F113" s="279"/>
      <c r="G113" s="262"/>
      <c r="H113" s="281"/>
      <c r="I113" s="461">
        <f>I111+I112</f>
        <v>429904.5</v>
      </c>
    </row>
    <row r="114" spans="1:9" x14ac:dyDescent="0.25">
      <c r="A114" s="282"/>
      <c r="B114" s="390" t="s">
        <v>230</v>
      </c>
      <c r="C114" s="284"/>
      <c r="D114" s="427"/>
      <c r="E114" s="283"/>
      <c r="F114" s="284"/>
      <c r="G114" s="285"/>
      <c r="H114" s="286"/>
      <c r="I114" s="462">
        <f>ROUNDUP(I113,-2)</f>
        <v>430000</v>
      </c>
    </row>
    <row r="115" spans="1:9" x14ac:dyDescent="0.25">
      <c r="A115" s="308"/>
      <c r="B115" s="383"/>
      <c r="C115" s="279"/>
      <c r="D115" s="436"/>
      <c r="E115" s="291"/>
      <c r="F115" s="261"/>
      <c r="G115" s="262"/>
      <c r="H115" s="263"/>
      <c r="I115" s="457"/>
    </row>
    <row r="116" spans="1:9" x14ac:dyDescent="0.25">
      <c r="A116" s="258"/>
      <c r="B116" s="383" t="s">
        <v>1155</v>
      </c>
      <c r="C116" s="261"/>
      <c r="D116" s="439"/>
      <c r="E116" s="291"/>
      <c r="F116" s="261"/>
      <c r="G116" s="262"/>
      <c r="H116" s="263"/>
      <c r="I116" s="457"/>
    </row>
    <row r="117" spans="1:9" x14ac:dyDescent="0.25">
      <c r="A117" s="258"/>
      <c r="B117" s="384"/>
      <c r="C117" s="261"/>
      <c r="D117" s="439"/>
      <c r="E117" s="291"/>
      <c r="F117" s="261"/>
      <c r="G117" s="262"/>
      <c r="H117" s="263"/>
      <c r="I117" s="457"/>
    </row>
    <row r="118" spans="1:9" ht="39" x14ac:dyDescent="0.25">
      <c r="A118" s="258">
        <v>11</v>
      </c>
      <c r="B118" s="405" t="s">
        <v>1163</v>
      </c>
      <c r="C118" s="321"/>
      <c r="D118" s="422">
        <v>1</v>
      </c>
      <c r="E118" s="265" t="s">
        <v>14</v>
      </c>
      <c r="F118" s="321"/>
      <c r="G118" s="321"/>
      <c r="H118" s="263"/>
      <c r="I118" s="457"/>
    </row>
    <row r="119" spans="1:9" x14ac:dyDescent="0.25">
      <c r="A119" s="258" t="s">
        <v>231</v>
      </c>
      <c r="B119" s="322" t="s">
        <v>1156</v>
      </c>
      <c r="C119" s="261"/>
      <c r="D119" s="421">
        <v>70</v>
      </c>
      <c r="E119" s="291" t="s">
        <v>25</v>
      </c>
      <c r="F119" s="261">
        <f>HSM!E31</f>
        <v>850</v>
      </c>
      <c r="G119" s="263">
        <f>D119*F119</f>
        <v>59500</v>
      </c>
      <c r="I119" s="457"/>
    </row>
    <row r="120" spans="1:9" x14ac:dyDescent="0.25">
      <c r="A120" s="264"/>
      <c r="B120" s="322" t="s">
        <v>1151</v>
      </c>
      <c r="C120" s="261"/>
      <c r="D120" s="421">
        <v>14.37</v>
      </c>
      <c r="E120" s="291" t="s">
        <v>38</v>
      </c>
      <c r="F120" s="261">
        <f>HSM!E484/40</f>
        <v>1350</v>
      </c>
      <c r="G120" s="263">
        <f>D120*F120</f>
        <v>19399.5</v>
      </c>
      <c r="I120" s="457"/>
    </row>
    <row r="121" spans="1:9" ht="15.75" x14ac:dyDescent="0.25">
      <c r="A121" s="258"/>
      <c r="B121" s="323" t="s">
        <v>1152</v>
      </c>
      <c r="C121" s="261"/>
      <c r="D121" s="421">
        <v>0.04</v>
      </c>
      <c r="E121" s="291" t="s">
        <v>1369</v>
      </c>
      <c r="F121" s="261">
        <f>HSM!E30</f>
        <v>274000</v>
      </c>
      <c r="G121" s="263">
        <f>D121*F121</f>
        <v>10960</v>
      </c>
      <c r="I121" s="458"/>
    </row>
    <row r="122" spans="1:9" x14ac:dyDescent="0.25">
      <c r="A122" s="258"/>
      <c r="B122" s="384" t="s">
        <v>217</v>
      </c>
      <c r="C122" s="261"/>
      <c r="D122" s="421">
        <v>0.3</v>
      </c>
      <c r="E122" s="291" t="s">
        <v>228</v>
      </c>
      <c r="F122" s="261">
        <f>VLOOKUP($B122,HSU!$B$6:$D$38,3,FALSE)</f>
        <v>70000</v>
      </c>
      <c r="G122" s="267">
        <f>D122*F122</f>
        <v>21000</v>
      </c>
      <c r="H122" s="263"/>
      <c r="I122" s="458"/>
    </row>
    <row r="123" spans="1:9" x14ac:dyDescent="0.25">
      <c r="A123" s="258"/>
      <c r="B123" s="384" t="s">
        <v>1153</v>
      </c>
      <c r="C123" s="261"/>
      <c r="D123" s="421">
        <v>0.1</v>
      </c>
      <c r="E123" s="291" t="s">
        <v>228</v>
      </c>
      <c r="F123" s="261">
        <f>VLOOKUP($B123,HSU!$B$6:$D$38,3,FALSE)</f>
        <v>80000</v>
      </c>
      <c r="G123" s="267">
        <f>D123*F123</f>
        <v>8000</v>
      </c>
      <c r="H123" s="263"/>
      <c r="I123" s="458"/>
    </row>
    <row r="124" spans="1:9" x14ac:dyDescent="0.25">
      <c r="A124" s="258"/>
      <c r="B124" s="384" t="s">
        <v>1161</v>
      </c>
      <c r="C124" s="261"/>
      <c r="D124" s="421">
        <v>0.01</v>
      </c>
      <c r="E124" s="291" t="s">
        <v>228</v>
      </c>
      <c r="F124" s="261">
        <f>VLOOKUP($B124,HSU!$B$6:$D$38,3,FALSE)</f>
        <v>85000</v>
      </c>
      <c r="G124" s="267">
        <f>D124*F124</f>
        <v>850</v>
      </c>
      <c r="H124" s="263"/>
      <c r="I124" s="458"/>
    </row>
    <row r="125" spans="1:9" x14ac:dyDescent="0.25">
      <c r="A125" s="268"/>
      <c r="B125" s="386" t="s">
        <v>220</v>
      </c>
      <c r="C125" s="328"/>
      <c r="D125" s="440">
        <v>1.4999999999999999E-2</v>
      </c>
      <c r="E125" s="306" t="s">
        <v>228</v>
      </c>
      <c r="F125" s="261">
        <f>VLOOKUP($B125,HSU!$B$6:$D$38,3,FALSE)</f>
        <v>85000</v>
      </c>
      <c r="G125" s="314">
        <f>D125*F125</f>
        <v>1275</v>
      </c>
      <c r="H125" s="263"/>
      <c r="I125" s="458"/>
    </row>
    <row r="126" spans="1:9" x14ac:dyDescent="0.25">
      <c r="A126" s="272"/>
      <c r="B126" s="388" t="s">
        <v>222</v>
      </c>
      <c r="C126" s="274"/>
      <c r="D126" s="424"/>
      <c r="E126" s="273"/>
      <c r="F126" s="274"/>
      <c r="G126" s="276">
        <f>SUM(G119:G125)</f>
        <v>120984.5</v>
      </c>
      <c r="H126" s="276">
        <f>SUM(H119:H125)</f>
        <v>0</v>
      </c>
      <c r="I126" s="459">
        <f>G126+H126</f>
        <v>120984.5</v>
      </c>
    </row>
    <row r="127" spans="1:9" x14ac:dyDescent="0.25">
      <c r="A127" s="277"/>
      <c r="B127" s="389" t="s">
        <v>229</v>
      </c>
      <c r="C127" s="279"/>
      <c r="D127" s="425"/>
      <c r="E127" s="278"/>
      <c r="F127" s="279"/>
      <c r="G127" s="280"/>
      <c r="H127" s="281"/>
      <c r="I127" s="460">
        <f>I126*0.15</f>
        <v>18147.674999999999</v>
      </c>
    </row>
    <row r="128" spans="1:9" x14ac:dyDescent="0.25">
      <c r="A128" s="277"/>
      <c r="B128" s="389" t="s">
        <v>222</v>
      </c>
      <c r="C128" s="279"/>
      <c r="D128" s="426"/>
      <c r="E128" s="278"/>
      <c r="F128" s="279"/>
      <c r="G128" s="262"/>
      <c r="H128" s="281"/>
      <c r="I128" s="461">
        <f>I126+I127</f>
        <v>139132.17499999999</v>
      </c>
    </row>
    <row r="129" spans="1:9" x14ac:dyDescent="0.25">
      <c r="A129" s="282"/>
      <c r="B129" s="390" t="s">
        <v>230</v>
      </c>
      <c r="C129" s="284"/>
      <c r="D129" s="427"/>
      <c r="E129" s="283"/>
      <c r="F129" s="284"/>
      <c r="G129" s="324"/>
      <c r="H129" s="325"/>
      <c r="I129" s="462">
        <f>ROUNDUP(I128,-2)</f>
        <v>139200</v>
      </c>
    </row>
    <row r="130" spans="1:9" x14ac:dyDescent="0.25">
      <c r="A130" s="320"/>
      <c r="B130" s="399"/>
      <c r="C130" s="315"/>
      <c r="D130" s="417"/>
      <c r="E130" s="326"/>
      <c r="F130" s="315"/>
      <c r="G130" s="327"/>
      <c r="H130" s="263"/>
      <c r="I130" s="457"/>
    </row>
    <row r="131" spans="1:9" x14ac:dyDescent="0.25">
      <c r="A131" s="268"/>
      <c r="B131" s="386"/>
      <c r="C131" s="328"/>
      <c r="D131" s="440"/>
      <c r="E131" s="269"/>
      <c r="F131" s="328"/>
      <c r="G131" s="329"/>
      <c r="H131" s="271"/>
      <c r="I131" s="458"/>
    </row>
    <row r="132" spans="1:9" x14ac:dyDescent="0.25">
      <c r="A132" s="258"/>
      <c r="B132" s="383" t="s">
        <v>1155</v>
      </c>
      <c r="C132" s="261"/>
      <c r="D132" s="439"/>
      <c r="E132" s="291"/>
      <c r="F132" s="261"/>
      <c r="G132" s="262"/>
      <c r="H132" s="263"/>
      <c r="I132" s="457"/>
    </row>
    <row r="133" spans="1:9" x14ac:dyDescent="0.25">
      <c r="A133" s="258"/>
      <c r="B133" s="384"/>
      <c r="C133" s="261"/>
      <c r="D133" s="439"/>
      <c r="E133" s="291"/>
      <c r="F133" s="261"/>
      <c r="G133" s="262"/>
      <c r="H133" s="263"/>
      <c r="I133" s="457"/>
    </row>
    <row r="134" spans="1:9" ht="39" x14ac:dyDescent="0.25">
      <c r="A134" s="258">
        <v>12</v>
      </c>
      <c r="B134" s="405" t="s">
        <v>1164</v>
      </c>
      <c r="C134" s="321"/>
      <c r="D134" s="422">
        <v>1</v>
      </c>
      <c r="E134" s="265" t="s">
        <v>14</v>
      </c>
      <c r="F134" s="321"/>
      <c r="G134" s="321"/>
      <c r="H134" s="263"/>
      <c r="I134" s="457"/>
    </row>
    <row r="135" spans="1:9" x14ac:dyDescent="0.25">
      <c r="A135" s="258" t="s">
        <v>231</v>
      </c>
      <c r="B135" s="322" t="s">
        <v>1156</v>
      </c>
      <c r="C135" s="261"/>
      <c r="D135" s="421">
        <v>70</v>
      </c>
      <c r="E135" s="291" t="s">
        <v>25</v>
      </c>
      <c r="F135" s="261">
        <f>HSM!E31</f>
        <v>850</v>
      </c>
      <c r="G135" s="263">
        <f>D135*F135</f>
        <v>59500</v>
      </c>
      <c r="I135" s="457"/>
    </row>
    <row r="136" spans="1:9" x14ac:dyDescent="0.25">
      <c r="A136" s="264"/>
      <c r="B136" s="322" t="s">
        <v>1151</v>
      </c>
      <c r="C136" s="261"/>
      <c r="D136" s="421">
        <v>9.68</v>
      </c>
      <c r="E136" s="291" t="s">
        <v>38</v>
      </c>
      <c r="F136" s="261">
        <f>HSM!E484/40</f>
        <v>1350</v>
      </c>
      <c r="G136" s="263">
        <f>D136*F136</f>
        <v>13068</v>
      </c>
      <c r="I136" s="457"/>
    </row>
    <row r="137" spans="1:9" ht="15.75" x14ac:dyDescent="0.25">
      <c r="A137" s="264"/>
      <c r="B137" s="330" t="s">
        <v>1152</v>
      </c>
      <c r="C137" s="261"/>
      <c r="D137" s="421">
        <v>4.4999999999999998E-2</v>
      </c>
      <c r="E137" s="291" t="s">
        <v>1369</v>
      </c>
      <c r="F137" s="261">
        <f>HSM!E30</f>
        <v>274000</v>
      </c>
      <c r="G137" s="263">
        <f>D137*F137</f>
        <v>12330</v>
      </c>
      <c r="I137" s="457"/>
    </row>
    <row r="138" spans="1:9" x14ac:dyDescent="0.25">
      <c r="A138" s="258"/>
      <c r="B138" s="384" t="s">
        <v>217</v>
      </c>
      <c r="C138" s="261"/>
      <c r="D138" s="441">
        <v>0.3</v>
      </c>
      <c r="E138" s="291" t="s">
        <v>228</v>
      </c>
      <c r="F138" s="261">
        <f>VLOOKUP($B138,HSU!$B$6:$D$38,3,FALSE)</f>
        <v>70000</v>
      </c>
      <c r="G138" s="267">
        <f>D138*F138</f>
        <v>21000</v>
      </c>
      <c r="H138" s="263"/>
      <c r="I138" s="457"/>
    </row>
    <row r="139" spans="1:9" x14ac:dyDescent="0.25">
      <c r="A139" s="258"/>
      <c r="B139" s="384" t="s">
        <v>1153</v>
      </c>
      <c r="C139" s="261"/>
      <c r="D139" s="441">
        <v>0.1</v>
      </c>
      <c r="E139" s="291" t="s">
        <v>228</v>
      </c>
      <c r="F139" s="261">
        <f>VLOOKUP($B139,HSU!$B$6:$D$38,3,FALSE)</f>
        <v>80000</v>
      </c>
      <c r="G139" s="267">
        <f>D139*F139</f>
        <v>8000</v>
      </c>
      <c r="H139" s="263"/>
      <c r="I139" s="457"/>
    </row>
    <row r="140" spans="1:9" x14ac:dyDescent="0.25">
      <c r="A140" s="258"/>
      <c r="B140" s="384" t="s">
        <v>1161</v>
      </c>
      <c r="C140" s="261"/>
      <c r="D140" s="441">
        <v>0.01</v>
      </c>
      <c r="E140" s="291" t="s">
        <v>228</v>
      </c>
      <c r="F140" s="261">
        <f>VLOOKUP($B140,HSU!$B$6:$D$38,3,FALSE)</f>
        <v>85000</v>
      </c>
      <c r="G140" s="267">
        <f>D140*F140</f>
        <v>850</v>
      </c>
      <c r="H140" s="263"/>
      <c r="I140" s="457"/>
    </row>
    <row r="141" spans="1:9" x14ac:dyDescent="0.25">
      <c r="A141" s="268"/>
      <c r="B141" s="331" t="s">
        <v>220</v>
      </c>
      <c r="C141" s="328"/>
      <c r="D141" s="442">
        <v>1.4999999999999999E-2</v>
      </c>
      <c r="E141" s="306" t="s">
        <v>228</v>
      </c>
      <c r="F141" s="261">
        <f>VLOOKUP($B141,HSU!$B$6:$D$38,3,FALSE)</f>
        <v>85000</v>
      </c>
      <c r="G141" s="314">
        <f>D141*F141</f>
        <v>1275</v>
      </c>
      <c r="H141" s="271"/>
      <c r="I141" s="458"/>
    </row>
    <row r="142" spans="1:9" x14ac:dyDescent="0.25">
      <c r="A142" s="272"/>
      <c r="B142" s="388" t="s">
        <v>222</v>
      </c>
      <c r="C142" s="274"/>
      <c r="D142" s="424"/>
      <c r="E142" s="273"/>
      <c r="F142" s="274"/>
      <c r="G142" s="275">
        <f>SUM(G135:G141)</f>
        <v>116023</v>
      </c>
      <c r="H142" s="275"/>
      <c r="I142" s="459">
        <f>G142+H142</f>
        <v>116023</v>
      </c>
    </row>
    <row r="143" spans="1:9" x14ac:dyDescent="0.25">
      <c r="A143" s="258"/>
      <c r="B143" s="389" t="s">
        <v>229</v>
      </c>
      <c r="C143" s="261"/>
      <c r="D143" s="421"/>
      <c r="E143" s="259"/>
      <c r="F143" s="261"/>
      <c r="G143" s="267"/>
      <c r="H143" s="263"/>
      <c r="I143" s="470">
        <f>I142*0.15</f>
        <v>17403.45</v>
      </c>
    </row>
    <row r="144" spans="1:9" x14ac:dyDescent="0.25">
      <c r="A144" s="258"/>
      <c r="B144" s="389" t="s">
        <v>222</v>
      </c>
      <c r="C144" s="261"/>
      <c r="D144" s="429"/>
      <c r="E144" s="259"/>
      <c r="F144" s="261"/>
      <c r="G144" s="262"/>
      <c r="H144" s="263"/>
      <c r="I144" s="457">
        <f>I142+I143</f>
        <v>133426.45000000001</v>
      </c>
    </row>
    <row r="145" spans="1:12" x14ac:dyDescent="0.25">
      <c r="A145" s="282"/>
      <c r="B145" s="390" t="s">
        <v>230</v>
      </c>
      <c r="C145" s="284"/>
      <c r="D145" s="427"/>
      <c r="E145" s="283"/>
      <c r="F145" s="284"/>
      <c r="G145" s="324"/>
      <c r="H145" s="325"/>
      <c r="I145" s="462">
        <f>ROUNDUP(I144,-2)</f>
        <v>133500</v>
      </c>
    </row>
    <row r="146" spans="1:12" x14ac:dyDescent="0.25">
      <c r="A146" s="480"/>
      <c r="B146" s="481"/>
      <c r="C146" s="310"/>
      <c r="D146" s="482"/>
      <c r="E146" s="483"/>
      <c r="F146" s="310"/>
      <c r="G146" s="484"/>
      <c r="H146" s="317"/>
      <c r="I146" s="471"/>
    </row>
    <row r="147" spans="1:12" x14ac:dyDescent="0.25">
      <c r="A147" s="485"/>
      <c r="B147" s="395"/>
      <c r="C147" s="279"/>
      <c r="D147" s="486"/>
      <c r="E147" s="332"/>
      <c r="F147" s="279"/>
      <c r="G147" s="487"/>
      <c r="H147" s="281"/>
      <c r="I147" s="472"/>
    </row>
    <row r="148" spans="1:12" ht="26.25" x14ac:dyDescent="0.25">
      <c r="A148" s="258">
        <v>13</v>
      </c>
      <c r="B148" s="405" t="s">
        <v>1165</v>
      </c>
      <c r="C148" s="261"/>
      <c r="D148" s="422">
        <v>1</v>
      </c>
      <c r="E148" s="265" t="s">
        <v>14</v>
      </c>
      <c r="F148" s="261"/>
      <c r="G148" s="262"/>
      <c r="H148" s="263"/>
      <c r="I148" s="465"/>
    </row>
    <row r="149" spans="1:12" x14ac:dyDescent="0.25">
      <c r="A149" s="258" t="s">
        <v>231</v>
      </c>
      <c r="B149" s="384" t="s">
        <v>1166</v>
      </c>
      <c r="C149" s="261"/>
      <c r="D149" s="443">
        <v>17</v>
      </c>
      <c r="E149" s="291" t="s">
        <v>25</v>
      </c>
      <c r="F149" s="261">
        <f>HSM!E848</f>
        <v>5692.5</v>
      </c>
      <c r="G149" s="263">
        <f>D149*F149</f>
        <v>96772.5</v>
      </c>
      <c r="I149" s="457"/>
    </row>
    <row r="150" spans="1:12" x14ac:dyDescent="0.25">
      <c r="A150" s="258"/>
      <c r="B150" s="323" t="s">
        <v>1152</v>
      </c>
      <c r="C150" s="261"/>
      <c r="D150" s="441">
        <v>4.2999999999999997E-2</v>
      </c>
      <c r="E150" s="334" t="s">
        <v>1369</v>
      </c>
      <c r="F150" s="261">
        <f>HSM!E30</f>
        <v>274000</v>
      </c>
      <c r="G150" s="263">
        <f>D150*F150</f>
        <v>11781.999999999998</v>
      </c>
      <c r="I150" s="457"/>
    </row>
    <row r="151" spans="1:12" x14ac:dyDescent="0.25">
      <c r="A151" s="258"/>
      <c r="B151" s="384" t="s">
        <v>217</v>
      </c>
      <c r="C151" s="261"/>
      <c r="D151" s="441">
        <v>0.3</v>
      </c>
      <c r="E151" s="291" t="s">
        <v>228</v>
      </c>
      <c r="F151" s="261">
        <f>VLOOKUP($B151,HSU!$B$6:$D$38,3,FALSE)</f>
        <v>70000</v>
      </c>
      <c r="G151" s="267">
        <f>D151*F151</f>
        <v>21000</v>
      </c>
      <c r="H151" s="263"/>
      <c r="I151" s="457"/>
    </row>
    <row r="152" spans="1:12" x14ac:dyDescent="0.25">
      <c r="A152" s="258"/>
      <c r="B152" s="384" t="s">
        <v>1153</v>
      </c>
      <c r="C152" s="261"/>
      <c r="D152" s="441">
        <v>0.1</v>
      </c>
      <c r="E152" s="291" t="s">
        <v>228</v>
      </c>
      <c r="F152" s="261">
        <f>VLOOKUP($B152,HSU!$B$6:$D$38,3,FALSE)</f>
        <v>80000</v>
      </c>
      <c r="G152" s="267">
        <f>D152*F152</f>
        <v>8000</v>
      </c>
      <c r="H152" s="263"/>
      <c r="I152" s="457"/>
    </row>
    <row r="153" spans="1:12" x14ac:dyDescent="0.25">
      <c r="A153" s="258"/>
      <c r="B153" s="384" t="s">
        <v>1161</v>
      </c>
      <c r="C153" s="261"/>
      <c r="D153" s="441">
        <v>0.01</v>
      </c>
      <c r="E153" s="291" t="s">
        <v>228</v>
      </c>
      <c r="F153" s="261">
        <f>VLOOKUP($B153,HSU!$B$6:$D$38,3,FALSE)</f>
        <v>85000</v>
      </c>
      <c r="G153" s="267">
        <f>D153*F153</f>
        <v>850</v>
      </c>
      <c r="H153" s="263"/>
      <c r="I153" s="457"/>
      <c r="L153" s="249">
        <f>1/(0.2*0.3)</f>
        <v>16.666666666666668</v>
      </c>
    </row>
    <row r="154" spans="1:12" x14ac:dyDescent="0.25">
      <c r="A154" s="268"/>
      <c r="B154" s="331" t="s">
        <v>220</v>
      </c>
      <c r="C154" s="328"/>
      <c r="D154" s="442">
        <v>1.4999999999999999E-2</v>
      </c>
      <c r="E154" s="306" t="s">
        <v>228</v>
      </c>
      <c r="F154" s="261">
        <f>VLOOKUP($B154,HSU!$B$6:$D$38,3,FALSE)</f>
        <v>85000</v>
      </c>
      <c r="G154" s="314">
        <f>D154*F154</f>
        <v>1275</v>
      </c>
      <c r="H154" s="271"/>
      <c r="I154" s="458"/>
    </row>
    <row r="155" spans="1:12" x14ac:dyDescent="0.25">
      <c r="A155" s="272"/>
      <c r="B155" s="388" t="s">
        <v>222</v>
      </c>
      <c r="C155" s="274"/>
      <c r="D155" s="424"/>
      <c r="E155" s="273"/>
      <c r="F155" s="274"/>
      <c r="G155" s="275">
        <f>SUM(G149:G154)</f>
        <v>139679.5</v>
      </c>
      <c r="H155" s="275">
        <f>SUM(H149:H154)</f>
        <v>0</v>
      </c>
      <c r="I155" s="459">
        <f>G155+H155</f>
        <v>139679.5</v>
      </c>
    </row>
    <row r="156" spans="1:12" x14ac:dyDescent="0.25">
      <c r="A156" s="277"/>
      <c r="B156" s="389" t="s">
        <v>229</v>
      </c>
      <c r="C156" s="279"/>
      <c r="D156" s="425"/>
      <c r="E156" s="278"/>
      <c r="F156" s="279"/>
      <c r="G156" s="280"/>
      <c r="H156" s="281"/>
      <c r="I156" s="460">
        <f>I155*0.15</f>
        <v>20951.924999999999</v>
      </c>
    </row>
    <row r="157" spans="1:12" x14ac:dyDescent="0.25">
      <c r="A157" s="277"/>
      <c r="B157" s="389" t="s">
        <v>222</v>
      </c>
      <c r="C157" s="279"/>
      <c r="D157" s="426"/>
      <c r="E157" s="278"/>
      <c r="F157" s="279"/>
      <c r="G157" s="262"/>
      <c r="H157" s="281"/>
      <c r="I157" s="461">
        <f>I155+I156</f>
        <v>160631.42499999999</v>
      </c>
    </row>
    <row r="158" spans="1:12" x14ac:dyDescent="0.25">
      <c r="A158" s="282"/>
      <c r="B158" s="390" t="s">
        <v>230</v>
      </c>
      <c r="C158" s="284"/>
      <c r="D158" s="427"/>
      <c r="E158" s="283"/>
      <c r="F158" s="284"/>
      <c r="G158" s="324"/>
      <c r="H158" s="325"/>
      <c r="I158" s="462">
        <f>ROUNDUP(I157,-2)</f>
        <v>160700</v>
      </c>
    </row>
    <row r="159" spans="1:12" x14ac:dyDescent="0.25">
      <c r="A159" s="320"/>
      <c r="B159" s="399"/>
      <c r="C159" s="315"/>
      <c r="D159" s="417"/>
      <c r="E159" s="251"/>
      <c r="F159" s="315"/>
      <c r="G159" s="316"/>
      <c r="H159" s="317"/>
      <c r="I159" s="468"/>
    </row>
    <row r="160" spans="1:12" ht="15.75" thickBot="1" x14ac:dyDescent="0.3">
      <c r="A160" s="335"/>
      <c r="B160" s="407"/>
      <c r="C160" s="337"/>
      <c r="D160" s="444"/>
      <c r="E160" s="336"/>
      <c r="F160" s="337"/>
      <c r="G160" s="338"/>
      <c r="H160" s="339"/>
      <c r="I160" s="473"/>
    </row>
    <row r="161" spans="1:9" ht="16.5" thickTop="1" thickBot="1" x14ac:dyDescent="0.3">
      <c r="A161" s="253" t="s">
        <v>3</v>
      </c>
      <c r="B161" s="381" t="s">
        <v>1375</v>
      </c>
      <c r="C161" s="376" t="s">
        <v>1370</v>
      </c>
      <c r="D161" s="418" t="s">
        <v>1371</v>
      </c>
      <c r="E161" s="376" t="s">
        <v>1372</v>
      </c>
      <c r="F161" s="376" t="s">
        <v>1374</v>
      </c>
      <c r="G161" s="254" t="s">
        <v>1373</v>
      </c>
      <c r="H161" s="255"/>
      <c r="I161" s="455" t="s">
        <v>222</v>
      </c>
    </row>
    <row r="162" spans="1:9" ht="16.5" thickTop="1" thickBot="1" x14ac:dyDescent="0.3">
      <c r="A162" s="256" t="s">
        <v>223</v>
      </c>
      <c r="B162" s="382" t="s">
        <v>224</v>
      </c>
      <c r="C162" s="340" t="s">
        <v>225</v>
      </c>
      <c r="D162" s="419" t="s">
        <v>226</v>
      </c>
      <c r="E162" s="340" t="s">
        <v>1376</v>
      </c>
      <c r="F162" s="257" t="s">
        <v>1377</v>
      </c>
      <c r="G162" s="340" t="s">
        <v>1378</v>
      </c>
      <c r="H162" s="257" t="s">
        <v>1377</v>
      </c>
      <c r="I162" s="456" t="s">
        <v>1379</v>
      </c>
    </row>
    <row r="163" spans="1:9" ht="15.75" thickTop="1" x14ac:dyDescent="0.25">
      <c r="A163" s="277"/>
      <c r="B163" s="395"/>
      <c r="C163" s="279"/>
      <c r="D163" s="445"/>
      <c r="E163" s="278"/>
      <c r="F163" s="279"/>
      <c r="G163" s="333"/>
      <c r="H163" s="281"/>
      <c r="I163" s="472"/>
    </row>
    <row r="164" spans="1:9" x14ac:dyDescent="0.25">
      <c r="A164" s="258"/>
      <c r="B164" s="383" t="s">
        <v>28</v>
      </c>
      <c r="C164" s="261"/>
      <c r="D164" s="420"/>
      <c r="E164" s="259"/>
      <c r="F164" s="261"/>
      <c r="G164" s="262"/>
      <c r="H164" s="263"/>
      <c r="I164" s="457"/>
    </row>
    <row r="165" spans="1:9" x14ac:dyDescent="0.25">
      <c r="A165" s="277"/>
      <c r="B165" s="395"/>
      <c r="C165" s="279"/>
      <c r="D165" s="425"/>
      <c r="E165" s="278"/>
      <c r="F165" s="279"/>
      <c r="G165" s="333"/>
      <c r="H165" s="281"/>
      <c r="I165" s="472"/>
    </row>
    <row r="166" spans="1:9" x14ac:dyDescent="0.25">
      <c r="A166" s="258"/>
      <c r="B166" s="322"/>
      <c r="C166" s="261"/>
      <c r="D166" s="446"/>
      <c r="E166" s="259"/>
      <c r="F166" s="261"/>
      <c r="G166" s="267"/>
      <c r="H166" s="341"/>
      <c r="I166" s="457"/>
    </row>
    <row r="167" spans="1:9" x14ac:dyDescent="0.25">
      <c r="A167" s="258">
        <v>14</v>
      </c>
      <c r="B167" s="385" t="s">
        <v>1167</v>
      </c>
      <c r="C167" s="261"/>
      <c r="D167" s="422">
        <v>1</v>
      </c>
      <c r="E167" s="265" t="s">
        <v>14</v>
      </c>
      <c r="F167" s="261"/>
      <c r="G167" s="262"/>
      <c r="H167" s="263"/>
      <c r="I167" s="457"/>
    </row>
    <row r="168" spans="1:9" x14ac:dyDescent="0.25">
      <c r="A168" s="258" t="s">
        <v>231</v>
      </c>
      <c r="B168" s="322" t="s">
        <v>1157</v>
      </c>
      <c r="C168" s="261"/>
      <c r="D168" s="446">
        <v>3.456</v>
      </c>
      <c r="E168" s="259" t="s">
        <v>38</v>
      </c>
      <c r="F168" s="261">
        <f>HSM!E484/40</f>
        <v>1350</v>
      </c>
      <c r="G168" s="341">
        <f>D168*F168</f>
        <v>4665.6000000000004</v>
      </c>
      <c r="I168" s="457"/>
    </row>
    <row r="169" spans="1:9" ht="15.75" x14ac:dyDescent="0.25">
      <c r="A169" s="258" t="s">
        <v>1158</v>
      </c>
      <c r="B169" s="384" t="s">
        <v>267</v>
      </c>
      <c r="C169" s="261"/>
      <c r="D169" s="446">
        <v>2.9000000000000001E-2</v>
      </c>
      <c r="E169" s="259" t="s">
        <v>1369</v>
      </c>
      <c r="F169" s="261">
        <f>HSM!E30</f>
        <v>274000</v>
      </c>
      <c r="G169" s="341">
        <f>D169*F169</f>
        <v>7946</v>
      </c>
      <c r="I169" s="457"/>
    </row>
    <row r="170" spans="1:9" x14ac:dyDescent="0.25">
      <c r="A170" s="258"/>
      <c r="B170" s="384" t="s">
        <v>217</v>
      </c>
      <c r="C170" s="261"/>
      <c r="D170" s="446">
        <v>0.3</v>
      </c>
      <c r="E170" s="259" t="s">
        <v>228</v>
      </c>
      <c r="F170" s="261">
        <f>VLOOKUP($B170,HSU!$B$6:$D$38,3,FALSE)</f>
        <v>70000</v>
      </c>
      <c r="G170" s="267">
        <f>D170*F170</f>
        <v>21000</v>
      </c>
      <c r="H170" s="263"/>
      <c r="I170" s="457"/>
    </row>
    <row r="171" spans="1:9" x14ac:dyDescent="0.25">
      <c r="A171" s="258"/>
      <c r="B171" s="384" t="s">
        <v>1153</v>
      </c>
      <c r="C171" s="261"/>
      <c r="D171" s="446">
        <v>0.1</v>
      </c>
      <c r="E171" s="259" t="s">
        <v>228</v>
      </c>
      <c r="F171" s="261">
        <f>VLOOKUP($B171,HSU!$B$6:$D$38,3,FALSE)</f>
        <v>80000</v>
      </c>
      <c r="G171" s="267">
        <f>D171*F171</f>
        <v>8000</v>
      </c>
      <c r="H171" s="263"/>
      <c r="I171" s="457"/>
    </row>
    <row r="172" spans="1:9" x14ac:dyDescent="0.25">
      <c r="A172" s="258"/>
      <c r="B172" s="322" t="s">
        <v>1161</v>
      </c>
      <c r="C172" s="261"/>
      <c r="D172" s="446">
        <v>0.01</v>
      </c>
      <c r="E172" s="259" t="s">
        <v>228</v>
      </c>
      <c r="F172" s="261">
        <f>VLOOKUP($B172,HSU!$B$6:$D$38,3,FALSE)</f>
        <v>85000</v>
      </c>
      <c r="G172" s="267">
        <f>D172*F172</f>
        <v>850</v>
      </c>
      <c r="H172" s="263"/>
      <c r="I172" s="457"/>
    </row>
    <row r="173" spans="1:9" x14ac:dyDescent="0.25">
      <c r="A173" s="268"/>
      <c r="B173" s="386" t="s">
        <v>220</v>
      </c>
      <c r="C173" s="328"/>
      <c r="D173" s="442">
        <v>1.4999999999999999E-2</v>
      </c>
      <c r="E173" s="269" t="s">
        <v>228</v>
      </c>
      <c r="F173" s="261">
        <f>VLOOKUP($B173,HSU!$B$6:$D$38,3,FALSE)</f>
        <v>85000</v>
      </c>
      <c r="G173" s="314">
        <f>D173*F173</f>
        <v>1275</v>
      </c>
      <c r="H173" s="271"/>
      <c r="I173" s="458"/>
    </row>
    <row r="174" spans="1:9" x14ac:dyDescent="0.25">
      <c r="A174" s="272"/>
      <c r="B174" s="388" t="s">
        <v>222</v>
      </c>
      <c r="C174" s="274"/>
      <c r="D174" s="424"/>
      <c r="E174" s="273"/>
      <c r="F174" s="274"/>
      <c r="G174" s="275">
        <f>SUM(G168:G173)</f>
        <v>43736.6</v>
      </c>
      <c r="H174" s="275">
        <f>SUM(H167:H173)</f>
        <v>0</v>
      </c>
      <c r="I174" s="459">
        <f>G174+H174</f>
        <v>43736.6</v>
      </c>
    </row>
    <row r="175" spans="1:9" x14ac:dyDescent="0.25">
      <c r="A175" s="277"/>
      <c r="B175" s="389" t="s">
        <v>229</v>
      </c>
      <c r="C175" s="279"/>
      <c r="D175" s="425"/>
      <c r="E175" s="278"/>
      <c r="F175" s="279"/>
      <c r="G175" s="280"/>
      <c r="H175" s="281"/>
      <c r="I175" s="460">
        <f>I174*0.15</f>
        <v>6560.49</v>
      </c>
    </row>
    <row r="176" spans="1:9" x14ac:dyDescent="0.25">
      <c r="A176" s="277"/>
      <c r="B176" s="389" t="s">
        <v>222</v>
      </c>
      <c r="C176" s="279"/>
      <c r="D176" s="426"/>
      <c r="E176" s="278"/>
      <c r="F176" s="279"/>
      <c r="G176" s="262"/>
      <c r="H176" s="281"/>
      <c r="I176" s="461">
        <f>I174+I175</f>
        <v>50297.09</v>
      </c>
    </row>
    <row r="177" spans="1:9" x14ac:dyDescent="0.25">
      <c r="A177" s="282"/>
      <c r="B177" s="390" t="s">
        <v>230</v>
      </c>
      <c r="C177" s="284"/>
      <c r="D177" s="427"/>
      <c r="E177" s="283"/>
      <c r="F177" s="284"/>
      <c r="G177" s="324"/>
      <c r="H177" s="325"/>
      <c r="I177" s="462">
        <f>ROUNDUP(I176,-2)</f>
        <v>50300</v>
      </c>
    </row>
    <row r="178" spans="1:9" x14ac:dyDescent="0.25">
      <c r="A178" s="308"/>
      <c r="B178" s="404"/>
      <c r="C178" s="274"/>
      <c r="D178" s="436"/>
      <c r="E178" s="273"/>
      <c r="F178" s="274"/>
      <c r="G178" s="275"/>
      <c r="H178" s="276"/>
      <c r="I178" s="459"/>
    </row>
    <row r="179" spans="1:9" x14ac:dyDescent="0.25">
      <c r="A179" s="258">
        <v>15</v>
      </c>
      <c r="B179" s="385" t="s">
        <v>1159</v>
      </c>
      <c r="C179" s="261"/>
      <c r="D179" s="422">
        <v>1</v>
      </c>
      <c r="E179" s="265" t="s">
        <v>14</v>
      </c>
      <c r="F179" s="261"/>
      <c r="G179" s="262"/>
      <c r="H179" s="263"/>
      <c r="I179" s="457"/>
    </row>
    <row r="180" spans="1:9" x14ac:dyDescent="0.25">
      <c r="A180" s="258" t="s">
        <v>231</v>
      </c>
      <c r="B180" s="322" t="s">
        <v>1157</v>
      </c>
      <c r="C180" s="261"/>
      <c r="D180" s="446">
        <v>8.52</v>
      </c>
      <c r="E180" s="259" t="s">
        <v>38</v>
      </c>
      <c r="F180" s="261">
        <f>HSM!E484/40</f>
        <v>1350</v>
      </c>
      <c r="G180" s="341">
        <f>D180*F180</f>
        <v>11502</v>
      </c>
      <c r="I180" s="457"/>
    </row>
    <row r="181" spans="1:9" ht="15.75" x14ac:dyDescent="0.25">
      <c r="A181" s="258" t="s">
        <v>1158</v>
      </c>
      <c r="B181" s="384" t="s">
        <v>267</v>
      </c>
      <c r="C181" s="261"/>
      <c r="D181" s="446">
        <v>1.7000000000000001E-2</v>
      </c>
      <c r="E181" s="259" t="s">
        <v>1369</v>
      </c>
      <c r="F181" s="261">
        <f>F169</f>
        <v>274000</v>
      </c>
      <c r="G181" s="341">
        <f>D181*F181</f>
        <v>4658</v>
      </c>
      <c r="I181" s="457"/>
    </row>
    <row r="182" spans="1:9" x14ac:dyDescent="0.25">
      <c r="A182" s="258"/>
      <c r="B182" s="384" t="s">
        <v>217</v>
      </c>
      <c r="C182" s="261"/>
      <c r="D182" s="446">
        <v>0.2</v>
      </c>
      <c r="E182" s="259" t="s">
        <v>228</v>
      </c>
      <c r="F182" s="261">
        <f>VLOOKUP($B182,HSU!$B$6:$D$38,3,FALSE)</f>
        <v>70000</v>
      </c>
      <c r="G182" s="267">
        <f>D182*F182</f>
        <v>14000</v>
      </c>
      <c r="H182" s="263"/>
      <c r="I182" s="457"/>
    </row>
    <row r="183" spans="1:9" x14ac:dyDescent="0.25">
      <c r="A183" s="258"/>
      <c r="B183" s="384" t="s">
        <v>1153</v>
      </c>
      <c r="C183" s="261"/>
      <c r="D183" s="446">
        <v>0.15</v>
      </c>
      <c r="E183" s="259" t="s">
        <v>228</v>
      </c>
      <c r="F183" s="261">
        <f>VLOOKUP($B183,HSU!$B$6:$D$38,3,FALSE)</f>
        <v>80000</v>
      </c>
      <c r="G183" s="267">
        <f>D183*F183</f>
        <v>12000</v>
      </c>
      <c r="H183" s="263"/>
      <c r="I183" s="457"/>
    </row>
    <row r="184" spans="1:9" x14ac:dyDescent="0.25">
      <c r="A184" s="258"/>
      <c r="B184" s="384" t="s">
        <v>1161</v>
      </c>
      <c r="C184" s="261"/>
      <c r="D184" s="446">
        <v>1.4999999999999999E-2</v>
      </c>
      <c r="E184" s="259" t="s">
        <v>228</v>
      </c>
      <c r="F184" s="261">
        <f>VLOOKUP($B184,HSU!$B$6:$D$38,3,FALSE)</f>
        <v>85000</v>
      </c>
      <c r="G184" s="267">
        <f>D184*F184</f>
        <v>1275</v>
      </c>
      <c r="H184" s="263"/>
      <c r="I184" s="457"/>
    </row>
    <row r="185" spans="1:9" x14ac:dyDescent="0.25">
      <c r="A185" s="268"/>
      <c r="B185" s="386" t="s">
        <v>220</v>
      </c>
      <c r="C185" s="328"/>
      <c r="D185" s="442">
        <v>0.01</v>
      </c>
      <c r="E185" s="269" t="s">
        <v>228</v>
      </c>
      <c r="F185" s="261">
        <f>VLOOKUP($B185,HSU!$B$6:$D$38,3,FALSE)</f>
        <v>85000</v>
      </c>
      <c r="G185" s="314">
        <f>D185*F185</f>
        <v>850</v>
      </c>
      <c r="H185" s="271"/>
      <c r="I185" s="458"/>
    </row>
    <row r="186" spans="1:9" x14ac:dyDescent="0.25">
      <c r="A186" s="272"/>
      <c r="B186" s="388" t="s">
        <v>222</v>
      </c>
      <c r="C186" s="274"/>
      <c r="D186" s="424"/>
      <c r="E186" s="273"/>
      <c r="F186" s="274"/>
      <c r="G186" s="275">
        <f>SUM(G180:G185)</f>
        <v>44285</v>
      </c>
      <c r="H186" s="275">
        <f>SUM(H179:H185)</f>
        <v>0</v>
      </c>
      <c r="I186" s="459">
        <f>G186+H186</f>
        <v>44285</v>
      </c>
    </row>
    <row r="187" spans="1:9" x14ac:dyDescent="0.25">
      <c r="A187" s="277"/>
      <c r="B187" s="389" t="s">
        <v>229</v>
      </c>
      <c r="C187" s="279"/>
      <c r="D187" s="425"/>
      <c r="E187" s="278"/>
      <c r="F187" s="279"/>
      <c r="G187" s="280"/>
      <c r="H187" s="281"/>
      <c r="I187" s="460">
        <f>I186*0.15</f>
        <v>6642.75</v>
      </c>
    </row>
    <row r="188" spans="1:9" x14ac:dyDescent="0.25">
      <c r="A188" s="277"/>
      <c r="B188" s="389" t="s">
        <v>222</v>
      </c>
      <c r="C188" s="279"/>
      <c r="D188" s="426"/>
      <c r="E188" s="278"/>
      <c r="F188" s="279"/>
      <c r="G188" s="262"/>
      <c r="H188" s="281"/>
      <c r="I188" s="461">
        <f>I186+I187</f>
        <v>50927.75</v>
      </c>
    </row>
    <row r="189" spans="1:9" x14ac:dyDescent="0.25">
      <c r="A189" s="282"/>
      <c r="B189" s="390" t="s">
        <v>230</v>
      </c>
      <c r="C189" s="284"/>
      <c r="D189" s="427"/>
      <c r="E189" s="283"/>
      <c r="F189" s="284"/>
      <c r="G189" s="324"/>
      <c r="H189" s="325"/>
      <c r="I189" s="462">
        <f>ROUNDUP(I188,-2)</f>
        <v>51000</v>
      </c>
    </row>
    <row r="190" spans="1:9" x14ac:dyDescent="0.25">
      <c r="A190" s="250"/>
      <c r="B190" s="406"/>
      <c r="C190" s="315"/>
      <c r="D190" s="417"/>
      <c r="E190" s="251"/>
      <c r="F190" s="315"/>
      <c r="G190" s="316"/>
      <c r="H190" s="317"/>
      <c r="I190" s="471"/>
    </row>
    <row r="191" spans="1:9" x14ac:dyDescent="0.25">
      <c r="A191" s="258">
        <v>16</v>
      </c>
      <c r="B191" s="385" t="s">
        <v>1160</v>
      </c>
      <c r="C191" s="261"/>
      <c r="D191" s="422">
        <v>1</v>
      </c>
      <c r="E191" s="265" t="s">
        <v>14</v>
      </c>
      <c r="F191" s="261"/>
      <c r="G191" s="262"/>
      <c r="H191" s="263"/>
      <c r="I191" s="457"/>
    </row>
    <row r="192" spans="1:9" x14ac:dyDescent="0.25">
      <c r="A192" s="258" t="s">
        <v>231</v>
      </c>
      <c r="B192" s="322" t="s">
        <v>1157</v>
      </c>
      <c r="C192" s="261"/>
      <c r="D192" s="446">
        <v>3.25</v>
      </c>
      <c r="E192" s="259" t="s">
        <v>38</v>
      </c>
      <c r="F192" s="261">
        <f>HSM!E484/40</f>
        <v>1350</v>
      </c>
      <c r="G192" s="341">
        <f>D192*F192</f>
        <v>4387.5</v>
      </c>
      <c r="I192" s="457"/>
    </row>
    <row r="193" spans="1:9" x14ac:dyDescent="0.25">
      <c r="A193" s="258"/>
      <c r="B193" s="384" t="s">
        <v>217</v>
      </c>
      <c r="C193" s="261"/>
      <c r="D193" s="446">
        <v>0.2</v>
      </c>
      <c r="E193" s="259" t="s">
        <v>228</v>
      </c>
      <c r="F193" s="261">
        <f>VLOOKUP($B193,HSU!$B$6:$D$38,3,FALSE)</f>
        <v>70000</v>
      </c>
      <c r="G193" s="267">
        <f>D193*F193</f>
        <v>14000</v>
      </c>
      <c r="H193" s="263"/>
      <c r="I193" s="457"/>
    </row>
    <row r="194" spans="1:9" x14ac:dyDescent="0.25">
      <c r="A194" s="258"/>
      <c r="B194" s="384" t="s">
        <v>1153</v>
      </c>
      <c r="C194" s="261"/>
      <c r="D194" s="446">
        <v>0.1</v>
      </c>
      <c r="E194" s="259" t="s">
        <v>228</v>
      </c>
      <c r="F194" s="261">
        <f>VLOOKUP($B194,HSU!$B$6:$D$38,3,FALSE)</f>
        <v>80000</v>
      </c>
      <c r="G194" s="267">
        <f>D194*F194</f>
        <v>8000</v>
      </c>
      <c r="H194" s="263"/>
      <c r="I194" s="457"/>
    </row>
    <row r="195" spans="1:9" x14ac:dyDescent="0.25">
      <c r="A195" s="258"/>
      <c r="B195" s="384" t="s">
        <v>1161</v>
      </c>
      <c r="C195" s="261"/>
      <c r="D195" s="446">
        <v>0.01</v>
      </c>
      <c r="E195" s="259" t="s">
        <v>228</v>
      </c>
      <c r="F195" s="261">
        <f>VLOOKUP($B195,HSU!$B$6:$D$38,3,FALSE)</f>
        <v>85000</v>
      </c>
      <c r="G195" s="267">
        <f>D195*F195</f>
        <v>850</v>
      </c>
      <c r="H195" s="263"/>
      <c r="I195" s="457"/>
    </row>
    <row r="196" spans="1:9" x14ac:dyDescent="0.25">
      <c r="A196" s="268"/>
      <c r="B196" s="386" t="s">
        <v>220</v>
      </c>
      <c r="C196" s="328"/>
      <c r="D196" s="442">
        <v>0.01</v>
      </c>
      <c r="E196" s="269" t="s">
        <v>228</v>
      </c>
      <c r="F196" s="261">
        <f>VLOOKUP($B196,HSU!$B$6:$D$38,3,FALSE)</f>
        <v>85000</v>
      </c>
      <c r="G196" s="314">
        <f>D196*F196</f>
        <v>850</v>
      </c>
      <c r="H196" s="271"/>
      <c r="I196" s="458"/>
    </row>
    <row r="197" spans="1:9" x14ac:dyDescent="0.25">
      <c r="A197" s="272"/>
      <c r="B197" s="388" t="s">
        <v>222</v>
      </c>
      <c r="C197" s="274"/>
      <c r="D197" s="424"/>
      <c r="E197" s="273"/>
      <c r="F197" s="274"/>
      <c r="G197" s="275">
        <f>SUM(G192:G196)</f>
        <v>28087.5</v>
      </c>
      <c r="H197" s="275">
        <f>SUM(H191:H196)</f>
        <v>0</v>
      </c>
      <c r="I197" s="459">
        <f>G197+H197</f>
        <v>28087.5</v>
      </c>
    </row>
    <row r="198" spans="1:9" x14ac:dyDescent="0.25">
      <c r="A198" s="277"/>
      <c r="B198" s="389" t="s">
        <v>229</v>
      </c>
      <c r="C198" s="279"/>
      <c r="D198" s="425"/>
      <c r="E198" s="278"/>
      <c r="F198" s="279"/>
      <c r="G198" s="280"/>
      <c r="H198" s="281"/>
      <c r="I198" s="460">
        <f>I197*0.15</f>
        <v>4213.125</v>
      </c>
    </row>
    <row r="199" spans="1:9" x14ac:dyDescent="0.25">
      <c r="A199" s="277"/>
      <c r="B199" s="389" t="s">
        <v>222</v>
      </c>
      <c r="C199" s="279"/>
      <c r="D199" s="426"/>
      <c r="E199" s="278"/>
      <c r="F199" s="279"/>
      <c r="G199" s="262"/>
      <c r="H199" s="281"/>
      <c r="I199" s="461">
        <f>I197+I198</f>
        <v>32300.625</v>
      </c>
    </row>
    <row r="200" spans="1:9" x14ac:dyDescent="0.25">
      <c r="A200" s="282"/>
      <c r="B200" s="390" t="s">
        <v>230</v>
      </c>
      <c r="C200" s="284"/>
      <c r="D200" s="427"/>
      <c r="E200" s="283"/>
      <c r="F200" s="284"/>
      <c r="G200" s="324"/>
      <c r="H200" s="325"/>
      <c r="I200" s="462">
        <f>ROUNDUP(I199,-2)</f>
        <v>32400</v>
      </c>
    </row>
    <row r="201" spans="1:9" x14ac:dyDescent="0.25">
      <c r="A201" s="250"/>
      <c r="B201" s="406"/>
      <c r="C201" s="315"/>
      <c r="D201" s="417"/>
      <c r="E201" s="251"/>
      <c r="F201" s="315"/>
      <c r="G201" s="316"/>
      <c r="H201" s="317"/>
      <c r="I201" s="471"/>
    </row>
    <row r="202" spans="1:9" x14ac:dyDescent="0.25">
      <c r="A202" s="258">
        <v>17</v>
      </c>
      <c r="B202" s="385" t="s">
        <v>1168</v>
      </c>
      <c r="C202" s="261"/>
      <c r="D202" s="422">
        <v>1</v>
      </c>
      <c r="E202" s="265" t="s">
        <v>14</v>
      </c>
      <c r="F202" s="261"/>
      <c r="G202" s="262"/>
      <c r="H202" s="263"/>
      <c r="I202" s="457"/>
    </row>
    <row r="203" spans="1:9" x14ac:dyDescent="0.25">
      <c r="A203" s="258" t="s">
        <v>231</v>
      </c>
      <c r="B203" s="322" t="s">
        <v>1157</v>
      </c>
      <c r="C203" s="261"/>
      <c r="D203" s="446">
        <v>0.5</v>
      </c>
      <c r="E203" s="259" t="s">
        <v>38</v>
      </c>
      <c r="F203" s="261">
        <f>HSM!E484/40</f>
        <v>1350</v>
      </c>
      <c r="G203" s="341">
        <f>D203*F203</f>
        <v>675</v>
      </c>
      <c r="I203" s="457"/>
    </row>
    <row r="204" spans="1:9" ht="15.75" x14ac:dyDescent="0.25">
      <c r="A204" s="258"/>
      <c r="B204" s="384" t="s">
        <v>267</v>
      </c>
      <c r="C204" s="261"/>
      <c r="D204" s="446">
        <v>1.2999999999999999E-2</v>
      </c>
      <c r="E204" s="259" t="s">
        <v>1369</v>
      </c>
      <c r="F204" s="261">
        <f>HSM!E30</f>
        <v>274000</v>
      </c>
      <c r="G204" s="341">
        <f>D204*F204</f>
        <v>3562</v>
      </c>
      <c r="I204" s="457"/>
    </row>
    <row r="205" spans="1:9" x14ac:dyDescent="0.25">
      <c r="A205" s="258"/>
      <c r="B205" s="384" t="s">
        <v>217</v>
      </c>
      <c r="C205" s="261"/>
      <c r="D205" s="446">
        <v>0.08</v>
      </c>
      <c r="E205" s="259" t="s">
        <v>228</v>
      </c>
      <c r="F205" s="261">
        <f>VLOOKUP($B205,HSU!$B$6:$D$38,3,FALSE)</f>
        <v>70000</v>
      </c>
      <c r="G205" s="267">
        <f>D205*F205</f>
        <v>5600</v>
      </c>
      <c r="H205" s="263"/>
      <c r="I205" s="457"/>
    </row>
    <row r="206" spans="1:9" x14ac:dyDescent="0.25">
      <c r="A206" s="258"/>
      <c r="B206" s="384" t="s">
        <v>1153</v>
      </c>
      <c r="C206" s="261"/>
      <c r="D206" s="446">
        <v>0.4</v>
      </c>
      <c r="E206" s="259" t="s">
        <v>228</v>
      </c>
      <c r="F206" s="261">
        <f>VLOOKUP($B206,HSU!$B$6:$D$38,3,FALSE)</f>
        <v>80000</v>
      </c>
      <c r="G206" s="267">
        <f>D206*F206</f>
        <v>32000</v>
      </c>
      <c r="H206" s="263"/>
      <c r="I206" s="457"/>
    </row>
    <row r="207" spans="1:9" x14ac:dyDescent="0.25">
      <c r="A207" s="258"/>
      <c r="B207" s="384" t="s">
        <v>1161</v>
      </c>
      <c r="C207" s="261"/>
      <c r="D207" s="446">
        <v>0.04</v>
      </c>
      <c r="E207" s="259" t="s">
        <v>228</v>
      </c>
      <c r="F207" s="261">
        <f>VLOOKUP($B207,HSU!$B$6:$D$38,3,FALSE)</f>
        <v>85000</v>
      </c>
      <c r="G207" s="267">
        <f>D207*F207</f>
        <v>3400</v>
      </c>
      <c r="H207" s="263"/>
      <c r="I207" s="457"/>
    </row>
    <row r="208" spans="1:9" x14ac:dyDescent="0.25">
      <c r="A208" s="268"/>
      <c r="B208" s="386" t="s">
        <v>220</v>
      </c>
      <c r="C208" s="328"/>
      <c r="D208" s="442">
        <v>4.0000000000000001E-3</v>
      </c>
      <c r="E208" s="269" t="s">
        <v>228</v>
      </c>
      <c r="F208" s="261">
        <f>VLOOKUP($B208,HSU!$B$6:$D$38,3,FALSE)</f>
        <v>85000</v>
      </c>
      <c r="G208" s="314">
        <f>D208*F208</f>
        <v>340</v>
      </c>
      <c r="H208" s="271"/>
      <c r="I208" s="458"/>
    </row>
    <row r="209" spans="1:9" x14ac:dyDescent="0.25">
      <c r="A209" s="272"/>
      <c r="B209" s="388" t="s">
        <v>222</v>
      </c>
      <c r="C209" s="274"/>
      <c r="D209" s="424"/>
      <c r="E209" s="273"/>
      <c r="F209" s="274"/>
      <c r="G209" s="275">
        <f>SUM(G203:G208)</f>
        <v>45577</v>
      </c>
      <c r="H209" s="275">
        <f>SUM(H202:H208)</f>
        <v>0</v>
      </c>
      <c r="I209" s="459">
        <f>G209+H209</f>
        <v>45577</v>
      </c>
    </row>
    <row r="210" spans="1:9" x14ac:dyDescent="0.25">
      <c r="A210" s="277"/>
      <c r="B210" s="389" t="s">
        <v>229</v>
      </c>
      <c r="C210" s="279"/>
      <c r="D210" s="425"/>
      <c r="E210" s="278"/>
      <c r="F210" s="279"/>
      <c r="G210" s="280"/>
      <c r="H210" s="281"/>
      <c r="I210" s="460">
        <f>I209*0.15</f>
        <v>6836.55</v>
      </c>
    </row>
    <row r="211" spans="1:9" x14ac:dyDescent="0.25">
      <c r="A211" s="277"/>
      <c r="B211" s="389" t="s">
        <v>222</v>
      </c>
      <c r="C211" s="279"/>
      <c r="D211" s="426"/>
      <c r="E211" s="278"/>
      <c r="F211" s="279"/>
      <c r="G211" s="262"/>
      <c r="H211" s="281"/>
      <c r="I211" s="461">
        <f>I209+I210</f>
        <v>52413.55</v>
      </c>
    </row>
    <row r="212" spans="1:9" x14ac:dyDescent="0.25">
      <c r="A212" s="282"/>
      <c r="B212" s="390" t="s">
        <v>230</v>
      </c>
      <c r="C212" s="284"/>
      <c r="D212" s="427"/>
      <c r="E212" s="283"/>
      <c r="F212" s="284"/>
      <c r="G212" s="324"/>
      <c r="H212" s="325"/>
      <c r="I212" s="462">
        <f>ROUNDUP(I211,-2)</f>
        <v>52500</v>
      </c>
    </row>
    <row r="213" spans="1:9" ht="15.75" thickBot="1" x14ac:dyDescent="0.3">
      <c r="I213" s="463"/>
    </row>
    <row r="214" spans="1:9" ht="16.5" thickTop="1" thickBot="1" x14ac:dyDescent="0.3">
      <c r="A214" s="253" t="s">
        <v>3</v>
      </c>
      <c r="B214" s="381" t="s">
        <v>1375</v>
      </c>
      <c r="C214" s="376" t="s">
        <v>1370</v>
      </c>
      <c r="D214" s="418" t="s">
        <v>1371</v>
      </c>
      <c r="E214" s="376" t="s">
        <v>1372</v>
      </c>
      <c r="F214" s="376" t="s">
        <v>1374</v>
      </c>
      <c r="G214" s="254" t="s">
        <v>1373</v>
      </c>
      <c r="H214" s="255"/>
      <c r="I214" s="455" t="s">
        <v>222</v>
      </c>
    </row>
    <row r="215" spans="1:9" ht="16.5" thickTop="1" thickBot="1" x14ac:dyDescent="0.3">
      <c r="A215" s="256" t="s">
        <v>223</v>
      </c>
      <c r="B215" s="382" t="s">
        <v>224</v>
      </c>
      <c r="C215" s="340" t="s">
        <v>225</v>
      </c>
      <c r="D215" s="419" t="s">
        <v>226</v>
      </c>
      <c r="E215" s="340" t="s">
        <v>1376</v>
      </c>
      <c r="F215" s="257" t="s">
        <v>1377</v>
      </c>
      <c r="G215" s="340" t="s">
        <v>1378</v>
      </c>
      <c r="H215" s="257" t="s">
        <v>1377</v>
      </c>
      <c r="I215" s="456" t="s">
        <v>1379</v>
      </c>
    </row>
    <row r="216" spans="1:9" ht="15.75" thickTop="1" x14ac:dyDescent="0.25">
      <c r="A216" s="297"/>
      <c r="B216" s="393"/>
      <c r="C216" s="343"/>
      <c r="D216" s="447"/>
      <c r="E216" s="342"/>
      <c r="F216" s="343"/>
      <c r="G216" s="300"/>
      <c r="H216" s="344"/>
      <c r="I216" s="466"/>
    </row>
    <row r="217" spans="1:9" x14ac:dyDescent="0.25">
      <c r="A217" s="258"/>
      <c r="B217" s="383" t="s">
        <v>1169</v>
      </c>
      <c r="C217" s="261"/>
      <c r="D217" s="439"/>
      <c r="E217" s="259"/>
      <c r="F217" s="261"/>
      <c r="G217" s="262"/>
      <c r="H217" s="263"/>
      <c r="I217" s="457"/>
    </row>
    <row r="218" spans="1:9" x14ac:dyDescent="0.25">
      <c r="A218" s="258"/>
      <c r="B218" s="383"/>
      <c r="C218" s="261"/>
      <c r="D218" s="439"/>
      <c r="E218" s="259"/>
      <c r="F218" s="261"/>
      <c r="G218" s="262"/>
      <c r="H218" s="263"/>
      <c r="I218" s="457"/>
    </row>
    <row r="219" spans="1:9" ht="26.25" x14ac:dyDescent="0.25">
      <c r="A219" s="258">
        <v>18</v>
      </c>
      <c r="B219" s="385" t="s">
        <v>1170</v>
      </c>
      <c r="C219" s="261"/>
      <c r="D219" s="422">
        <v>1</v>
      </c>
      <c r="E219" s="265" t="s">
        <v>20</v>
      </c>
      <c r="F219" s="261"/>
      <c r="G219" s="262"/>
      <c r="H219" s="263"/>
      <c r="I219" s="457"/>
    </row>
    <row r="220" spans="1:9" x14ac:dyDescent="0.25">
      <c r="A220" s="258" t="s">
        <v>231</v>
      </c>
      <c r="B220" s="408" t="s">
        <v>1171</v>
      </c>
      <c r="C220" s="261"/>
      <c r="D220" s="448">
        <v>384</v>
      </c>
      <c r="E220" s="345" t="s">
        <v>38</v>
      </c>
      <c r="F220" s="261">
        <f>HSM!E484/40</f>
        <v>1350</v>
      </c>
      <c r="G220" s="263">
        <f>D220*F220</f>
        <v>518400</v>
      </c>
      <c r="I220" s="457"/>
    </row>
    <row r="221" spans="1:9" x14ac:dyDescent="0.25">
      <c r="A221" s="258"/>
      <c r="B221" s="408" t="s">
        <v>1172</v>
      </c>
      <c r="C221" s="261"/>
      <c r="D221" s="448">
        <v>629</v>
      </c>
      <c r="E221" s="345" t="s">
        <v>38</v>
      </c>
      <c r="F221" s="261">
        <f>HSM!E15</f>
        <v>194.976</v>
      </c>
      <c r="G221" s="263">
        <f>D221*F221</f>
        <v>122639.90399999999</v>
      </c>
      <c r="I221" s="457"/>
    </row>
    <row r="222" spans="1:9" x14ac:dyDescent="0.25">
      <c r="A222" s="258"/>
      <c r="B222" s="408" t="s">
        <v>1173</v>
      </c>
      <c r="C222" s="261"/>
      <c r="D222" s="448">
        <v>1039</v>
      </c>
      <c r="E222" s="345" t="s">
        <v>38</v>
      </c>
      <c r="F222" s="261">
        <f>HSM!E33</f>
        <v>146.66400000000002</v>
      </c>
      <c r="G222" s="263">
        <f>D222*F222</f>
        <v>152383.89600000001</v>
      </c>
      <c r="I222" s="457"/>
    </row>
    <row r="223" spans="1:9" x14ac:dyDescent="0.25">
      <c r="A223" s="258"/>
      <c r="B223" s="408" t="s">
        <v>1049</v>
      </c>
      <c r="C223" s="261"/>
      <c r="D223" s="448">
        <v>215</v>
      </c>
      <c r="E223" s="345" t="s">
        <v>1175</v>
      </c>
      <c r="F223" s="261">
        <f>HSM!E830</f>
        <v>141.30000000000001</v>
      </c>
      <c r="G223" s="263">
        <f>D223*F223</f>
        <v>30379.500000000004</v>
      </c>
      <c r="I223" s="457"/>
    </row>
    <row r="224" spans="1:9" x14ac:dyDescent="0.25">
      <c r="A224" s="258"/>
      <c r="B224" s="408" t="s">
        <v>217</v>
      </c>
      <c r="C224" s="261"/>
      <c r="D224" s="448">
        <v>1.65</v>
      </c>
      <c r="E224" s="345" t="s">
        <v>228</v>
      </c>
      <c r="F224" s="261">
        <f>VLOOKUP($B224,HSU!$B$6:$D$38,3,FALSE)</f>
        <v>70000</v>
      </c>
      <c r="G224" s="262">
        <f>D224*F224</f>
        <v>115500</v>
      </c>
      <c r="H224" s="263"/>
      <c r="I224" s="457"/>
    </row>
    <row r="225" spans="1:9" x14ac:dyDescent="0.25">
      <c r="A225" s="258"/>
      <c r="B225" s="408" t="s">
        <v>1153</v>
      </c>
      <c r="C225" s="261"/>
      <c r="D225" s="448">
        <v>0.27500000000000002</v>
      </c>
      <c r="E225" s="345" t="s">
        <v>228</v>
      </c>
      <c r="F225" s="261">
        <f>VLOOKUP($B225,HSU!$B$6:$D$38,3,FALSE)</f>
        <v>80000</v>
      </c>
      <c r="G225" s="262">
        <f>D225*F225</f>
        <v>22000</v>
      </c>
      <c r="H225" s="263"/>
      <c r="I225" s="457"/>
    </row>
    <row r="226" spans="1:9" x14ac:dyDescent="0.25">
      <c r="A226" s="258"/>
      <c r="B226" s="408" t="s">
        <v>1174</v>
      </c>
      <c r="C226" s="261"/>
      <c r="D226" s="448">
        <v>2.8000000000000001E-2</v>
      </c>
      <c r="E226" s="345" t="s">
        <v>228</v>
      </c>
      <c r="F226" s="261">
        <f>VLOOKUP($B226,HSU!$B$6:$D$38,3,FALSE)</f>
        <v>85000</v>
      </c>
      <c r="G226" s="262">
        <f>D226*F226</f>
        <v>2380</v>
      </c>
      <c r="H226" s="263"/>
      <c r="I226" s="457"/>
    </row>
    <row r="227" spans="1:9" x14ac:dyDescent="0.25">
      <c r="A227" s="258"/>
      <c r="B227" s="408" t="s">
        <v>220</v>
      </c>
      <c r="C227" s="261"/>
      <c r="D227" s="448">
        <v>0.16500000000000001</v>
      </c>
      <c r="E227" s="345" t="s">
        <v>228</v>
      </c>
      <c r="F227" s="261">
        <f>VLOOKUP($B227,HSU!$B$6:$D$38,3,FALSE)</f>
        <v>85000</v>
      </c>
      <c r="G227" s="262">
        <f>D227*F227</f>
        <v>14025</v>
      </c>
      <c r="H227" s="263"/>
      <c r="I227" s="457"/>
    </row>
    <row r="228" spans="1:9" x14ac:dyDescent="0.25">
      <c r="A228" s="272"/>
      <c r="B228" s="388" t="s">
        <v>222</v>
      </c>
      <c r="C228" s="274"/>
      <c r="D228" s="424"/>
      <c r="E228" s="273"/>
      <c r="F228" s="274"/>
      <c r="G228" s="275">
        <f>SUM(G220:G227)</f>
        <v>977708.3</v>
      </c>
      <c r="H228" s="275"/>
      <c r="I228" s="459">
        <f>G228+H228</f>
        <v>977708.3</v>
      </c>
    </row>
    <row r="229" spans="1:9" x14ac:dyDescent="0.25">
      <c r="A229" s="277"/>
      <c r="B229" s="389" t="s">
        <v>229</v>
      </c>
      <c r="C229" s="279"/>
      <c r="D229" s="425"/>
      <c r="E229" s="278"/>
      <c r="F229" s="279"/>
      <c r="G229" s="280"/>
      <c r="H229" s="281"/>
      <c r="I229" s="460">
        <f>I228*0.15</f>
        <v>146656.245</v>
      </c>
    </row>
    <row r="230" spans="1:9" x14ac:dyDescent="0.25">
      <c r="A230" s="277"/>
      <c r="B230" s="389" t="s">
        <v>222</v>
      </c>
      <c r="C230" s="279"/>
      <c r="D230" s="426"/>
      <c r="E230" s="278"/>
      <c r="F230" s="279"/>
      <c r="G230" s="262"/>
      <c r="H230" s="281"/>
      <c r="I230" s="461">
        <f>I228+I229</f>
        <v>1124364.5449999999</v>
      </c>
    </row>
    <row r="231" spans="1:9" x14ac:dyDescent="0.25">
      <c r="A231" s="282"/>
      <c r="B231" s="390" t="s">
        <v>230</v>
      </c>
      <c r="C231" s="284"/>
      <c r="D231" s="427"/>
      <c r="E231" s="283"/>
      <c r="F231" s="284"/>
      <c r="G231" s="324"/>
      <c r="H231" s="325"/>
      <c r="I231" s="462">
        <f>ROUNDUP(I230,-2)</f>
        <v>1124400</v>
      </c>
    </row>
    <row r="232" spans="1:9" x14ac:dyDescent="0.25">
      <c r="A232" s="258"/>
      <c r="B232" s="383"/>
      <c r="C232" s="261"/>
      <c r="D232" s="439"/>
      <c r="E232" s="259"/>
      <c r="F232" s="261"/>
      <c r="G232" s="262"/>
      <c r="H232" s="263"/>
      <c r="I232" s="457"/>
    </row>
    <row r="233" spans="1:9" ht="26.25" x14ac:dyDescent="0.25">
      <c r="A233" s="258">
        <v>19</v>
      </c>
      <c r="B233" s="385" t="s">
        <v>1191</v>
      </c>
      <c r="C233" s="261"/>
      <c r="D233" s="422">
        <v>1</v>
      </c>
      <c r="E233" s="265" t="s">
        <v>14</v>
      </c>
      <c r="F233" s="261"/>
      <c r="G233" s="262"/>
      <c r="H233" s="263"/>
      <c r="I233" s="457"/>
    </row>
    <row r="234" spans="1:9" x14ac:dyDescent="0.25">
      <c r="A234" s="258" t="s">
        <v>231</v>
      </c>
      <c r="B234" s="408" t="s">
        <v>1192</v>
      </c>
      <c r="C234" s="261"/>
      <c r="D234" s="448">
        <v>0.02</v>
      </c>
      <c r="E234" s="345" t="s">
        <v>20</v>
      </c>
      <c r="F234" s="261">
        <f>HSM!E78</f>
        <v>956250</v>
      </c>
      <c r="G234" s="263">
        <f>D234*F234</f>
        <v>19125</v>
      </c>
      <c r="I234" s="457"/>
    </row>
    <row r="235" spans="1:9" x14ac:dyDescent="0.25">
      <c r="A235" s="258"/>
      <c r="B235" s="408" t="s">
        <v>1178</v>
      </c>
      <c r="C235" s="261"/>
      <c r="D235" s="448">
        <v>0.25</v>
      </c>
      <c r="E235" s="345" t="s">
        <v>38</v>
      </c>
      <c r="F235" s="261">
        <f>HSM!E170</f>
        <v>24000</v>
      </c>
      <c r="G235" s="263">
        <f>D235*F235</f>
        <v>6000</v>
      </c>
      <c r="I235" s="457"/>
    </row>
    <row r="236" spans="1:9" x14ac:dyDescent="0.25">
      <c r="A236" s="258"/>
      <c r="B236" s="408" t="s">
        <v>217</v>
      </c>
      <c r="C236" s="261"/>
      <c r="D236" s="448">
        <v>0.3</v>
      </c>
      <c r="E236" s="345" t="s">
        <v>228</v>
      </c>
      <c r="F236" s="261">
        <f>VLOOKUP($B236,HSU!$B$6:$D$38,3,FALSE)</f>
        <v>70000</v>
      </c>
      <c r="G236" s="262">
        <f>D236*F236</f>
        <v>21000</v>
      </c>
      <c r="H236" s="263"/>
      <c r="I236" s="457"/>
    </row>
    <row r="237" spans="1:9" x14ac:dyDescent="0.25">
      <c r="A237" s="258"/>
      <c r="B237" s="408" t="s">
        <v>1177</v>
      </c>
      <c r="C237" s="261"/>
      <c r="D237" s="448">
        <v>0.15</v>
      </c>
      <c r="E237" s="345" t="s">
        <v>228</v>
      </c>
      <c r="F237" s="261">
        <f>VLOOKUP($B237,HSU!$B$6:$D$38,3,FALSE)</f>
        <v>80000</v>
      </c>
      <c r="G237" s="262">
        <f>D237*F237</f>
        <v>12000</v>
      </c>
      <c r="H237" s="263"/>
      <c r="I237" s="457"/>
    </row>
    <row r="238" spans="1:9" x14ac:dyDescent="0.25">
      <c r="A238" s="258"/>
      <c r="B238" s="408" t="s">
        <v>1176</v>
      </c>
      <c r="C238" s="261"/>
      <c r="D238" s="448">
        <v>1.4999999999999999E-2</v>
      </c>
      <c r="E238" s="345" t="s">
        <v>228</v>
      </c>
      <c r="F238" s="261">
        <f>VLOOKUP($B238,HSU!$B$6:$D$38,3,FALSE)</f>
        <v>90000</v>
      </c>
      <c r="G238" s="262">
        <f>D238*F238</f>
        <v>1350</v>
      </c>
      <c r="H238" s="263"/>
      <c r="I238" s="457"/>
    </row>
    <row r="239" spans="1:9" x14ac:dyDescent="0.25">
      <c r="A239" s="258"/>
      <c r="B239" s="408" t="s">
        <v>220</v>
      </c>
      <c r="C239" s="261"/>
      <c r="D239" s="448">
        <v>0.03</v>
      </c>
      <c r="E239" s="345" t="s">
        <v>228</v>
      </c>
      <c r="F239" s="261">
        <f>VLOOKUP($B239,HSU!$B$6:$D$38,3,FALSE)</f>
        <v>85000</v>
      </c>
      <c r="G239" s="262">
        <f>D239*F239</f>
        <v>2550</v>
      </c>
      <c r="H239" s="263"/>
      <c r="I239" s="457"/>
    </row>
    <row r="240" spans="1:9" x14ac:dyDescent="0.25">
      <c r="A240" s="272"/>
      <c r="B240" s="388" t="s">
        <v>222</v>
      </c>
      <c r="C240" s="274"/>
      <c r="D240" s="424"/>
      <c r="E240" s="273"/>
      <c r="F240" s="274"/>
      <c r="G240" s="275">
        <f>SUM(G234:G239)</f>
        <v>62025</v>
      </c>
      <c r="H240" s="275"/>
      <c r="I240" s="459">
        <f>G240+H240</f>
        <v>62025</v>
      </c>
    </row>
    <row r="241" spans="1:9" x14ac:dyDescent="0.25">
      <c r="A241" s="277"/>
      <c r="B241" s="389" t="s">
        <v>229</v>
      </c>
      <c r="C241" s="279"/>
      <c r="D241" s="425"/>
      <c r="E241" s="278"/>
      <c r="F241" s="279"/>
      <c r="G241" s="280"/>
      <c r="H241" s="281"/>
      <c r="I241" s="460">
        <f>I240*0.15</f>
        <v>9303.75</v>
      </c>
    </row>
    <row r="242" spans="1:9" x14ac:dyDescent="0.25">
      <c r="A242" s="277"/>
      <c r="B242" s="389" t="s">
        <v>222</v>
      </c>
      <c r="C242" s="279"/>
      <c r="D242" s="426"/>
      <c r="E242" s="278"/>
      <c r="F242" s="279"/>
      <c r="G242" s="262"/>
      <c r="H242" s="281"/>
      <c r="I242" s="461">
        <f>I240+I241</f>
        <v>71328.75</v>
      </c>
    </row>
    <row r="243" spans="1:9" x14ac:dyDescent="0.25">
      <c r="A243" s="282"/>
      <c r="B243" s="390" t="s">
        <v>230</v>
      </c>
      <c r="C243" s="284"/>
      <c r="D243" s="427"/>
      <c r="E243" s="283"/>
      <c r="F243" s="284"/>
      <c r="G243" s="324"/>
      <c r="H243" s="325"/>
      <c r="I243" s="462">
        <f>ROUNDUP(I242,-2)</f>
        <v>71400</v>
      </c>
    </row>
    <row r="244" spans="1:9" x14ac:dyDescent="0.25">
      <c r="A244" s="258"/>
      <c r="B244" s="383"/>
      <c r="C244" s="261"/>
      <c r="D244" s="439"/>
      <c r="E244" s="259"/>
      <c r="F244" s="261"/>
      <c r="G244" s="262"/>
      <c r="H244" s="263"/>
      <c r="I244" s="457"/>
    </row>
    <row r="245" spans="1:9" ht="26.25" x14ac:dyDescent="0.25">
      <c r="A245" s="258">
        <v>20</v>
      </c>
      <c r="B245" s="385" t="s">
        <v>1332</v>
      </c>
      <c r="C245" s="261"/>
      <c r="D245" s="422">
        <v>1</v>
      </c>
      <c r="E245" s="265" t="s">
        <v>20</v>
      </c>
      <c r="F245" s="261"/>
      <c r="G245" s="262"/>
      <c r="H245" s="263"/>
      <c r="I245" s="457"/>
    </row>
    <row r="246" spans="1:9" x14ac:dyDescent="0.25">
      <c r="A246" s="258" t="s">
        <v>231</v>
      </c>
      <c r="B246" s="408" t="s">
        <v>1181</v>
      </c>
      <c r="C246" s="261"/>
      <c r="D246" s="448">
        <v>200</v>
      </c>
      <c r="E246" s="345" t="s">
        <v>38</v>
      </c>
      <c r="F246" s="261">
        <f>HSM!E157</f>
        <v>9072</v>
      </c>
      <c r="G246" s="263">
        <f>D246*F246</f>
        <v>1814400</v>
      </c>
      <c r="I246" s="457"/>
    </row>
    <row r="247" spans="1:9" x14ac:dyDescent="0.25">
      <c r="A247" s="258"/>
      <c r="B247" s="408" t="s">
        <v>1182</v>
      </c>
      <c r="C247" s="261"/>
      <c r="D247" s="448">
        <v>2.25</v>
      </c>
      <c r="E247" s="345" t="s">
        <v>38</v>
      </c>
      <c r="F247" s="261">
        <f>HSM!E169</f>
        <v>13050</v>
      </c>
      <c r="G247" s="263">
        <f>D247*F247</f>
        <v>29362.5</v>
      </c>
      <c r="I247" s="457"/>
    </row>
    <row r="248" spans="1:9" x14ac:dyDescent="0.25">
      <c r="A248" s="258"/>
      <c r="B248" s="408" t="s">
        <v>217</v>
      </c>
      <c r="C248" s="261"/>
      <c r="D248" s="448">
        <v>5.65</v>
      </c>
      <c r="E248" s="345" t="s">
        <v>228</v>
      </c>
      <c r="F248" s="261">
        <f>VLOOKUP($B248,HSU!$B$6:$D$38,3,FALSE)</f>
        <v>70000</v>
      </c>
      <c r="G248" s="262">
        <f>D248*F248</f>
        <v>395500</v>
      </c>
      <c r="H248" s="263"/>
      <c r="I248" s="457"/>
    </row>
    <row r="249" spans="1:9" x14ac:dyDescent="0.25">
      <c r="A249" s="258"/>
      <c r="B249" s="408" t="s">
        <v>1179</v>
      </c>
      <c r="C249" s="261"/>
      <c r="D249" s="448">
        <v>1.4</v>
      </c>
      <c r="E249" s="345" t="s">
        <v>228</v>
      </c>
      <c r="F249" s="261">
        <f>VLOOKUP($B249,HSU!$B$6:$D$38,3,FALSE)</f>
        <v>80000</v>
      </c>
      <c r="G249" s="262">
        <f>D249*F249</f>
        <v>112000</v>
      </c>
      <c r="H249" s="263"/>
      <c r="I249" s="457"/>
    </row>
    <row r="250" spans="1:9" x14ac:dyDescent="0.25">
      <c r="A250" s="258"/>
      <c r="B250" s="408" t="s">
        <v>1180</v>
      </c>
      <c r="C250" s="261"/>
      <c r="D250" s="448">
        <v>0.32300000000000001</v>
      </c>
      <c r="E250" s="345" t="s">
        <v>228</v>
      </c>
      <c r="F250" s="261">
        <f>VLOOKUP($B250,HSU!$B$6:$D$38,3,FALSE)</f>
        <v>90000</v>
      </c>
      <c r="G250" s="262">
        <f>D250*F250</f>
        <v>29070</v>
      </c>
      <c r="H250" s="263"/>
      <c r="I250" s="457"/>
    </row>
    <row r="251" spans="1:9" x14ac:dyDescent="0.25">
      <c r="A251" s="258"/>
      <c r="B251" s="408" t="s">
        <v>220</v>
      </c>
      <c r="C251" s="261"/>
      <c r="D251" s="448">
        <v>0.28299999999999997</v>
      </c>
      <c r="E251" s="345" t="s">
        <v>228</v>
      </c>
      <c r="F251" s="261">
        <f>VLOOKUP($B251,HSU!$B$6:$D$38,3,FALSE)</f>
        <v>85000</v>
      </c>
      <c r="G251" s="262">
        <f>D251*F251</f>
        <v>24054.999999999996</v>
      </c>
      <c r="H251" s="263"/>
      <c r="I251" s="457"/>
    </row>
    <row r="252" spans="1:9" x14ac:dyDescent="0.25">
      <c r="A252" s="272"/>
      <c r="B252" s="388" t="s">
        <v>222</v>
      </c>
      <c r="C252" s="274"/>
      <c r="D252" s="424"/>
      <c r="E252" s="273"/>
      <c r="F252" s="274"/>
      <c r="G252" s="275">
        <f>SUM(G246:G251)</f>
        <v>2404387.5</v>
      </c>
      <c r="H252" s="275"/>
      <c r="I252" s="459">
        <f>G252+H252</f>
        <v>2404387.5</v>
      </c>
    </row>
    <row r="253" spans="1:9" x14ac:dyDescent="0.25">
      <c r="A253" s="277"/>
      <c r="B253" s="389" t="s">
        <v>229</v>
      </c>
      <c r="C253" s="279"/>
      <c r="D253" s="425"/>
      <c r="E253" s="278"/>
      <c r="F253" s="279"/>
      <c r="G253" s="280"/>
      <c r="H253" s="281"/>
      <c r="I253" s="460">
        <f>I252*0.15</f>
        <v>360658.125</v>
      </c>
    </row>
    <row r="254" spans="1:9" x14ac:dyDescent="0.25">
      <c r="A254" s="277"/>
      <c r="B254" s="389" t="s">
        <v>222</v>
      </c>
      <c r="C254" s="279"/>
      <c r="D254" s="426"/>
      <c r="E254" s="278"/>
      <c r="F254" s="279"/>
      <c r="G254" s="262"/>
      <c r="H254" s="281"/>
      <c r="I254" s="461">
        <f>I252+I253</f>
        <v>2765045.625</v>
      </c>
    </row>
    <row r="255" spans="1:9" x14ac:dyDescent="0.25">
      <c r="A255" s="282"/>
      <c r="B255" s="390" t="s">
        <v>230</v>
      </c>
      <c r="C255" s="284"/>
      <c r="D255" s="427"/>
      <c r="E255" s="283"/>
      <c r="F255" s="284"/>
      <c r="G255" s="324"/>
      <c r="H255" s="325"/>
      <c r="I255" s="462">
        <f>ROUNDUP(I254,-2)</f>
        <v>2765100</v>
      </c>
    </row>
    <row r="256" spans="1:9" x14ac:dyDescent="0.25">
      <c r="A256" s="258"/>
      <c r="B256" s="383"/>
      <c r="C256" s="261"/>
      <c r="D256" s="439"/>
      <c r="E256" s="259"/>
      <c r="F256" s="261"/>
      <c r="G256" s="262"/>
      <c r="H256" s="263"/>
      <c r="I256" s="457"/>
    </row>
    <row r="257" spans="1:9" ht="26.25" x14ac:dyDescent="0.25">
      <c r="A257" s="258">
        <v>20</v>
      </c>
      <c r="B257" s="385" t="s">
        <v>1333</v>
      </c>
      <c r="C257" s="261"/>
      <c r="D257" s="422">
        <v>1</v>
      </c>
      <c r="E257" s="265" t="s">
        <v>20</v>
      </c>
      <c r="F257" s="261"/>
      <c r="G257" s="262"/>
      <c r="H257" s="263"/>
      <c r="I257" s="457"/>
    </row>
    <row r="258" spans="1:9" x14ac:dyDescent="0.25">
      <c r="A258" s="258"/>
      <c r="B258" s="408" t="s">
        <v>1181</v>
      </c>
      <c r="C258" s="261"/>
      <c r="D258" s="448">
        <v>100</v>
      </c>
      <c r="E258" s="345" t="s">
        <v>38</v>
      </c>
      <c r="F258" s="261">
        <f>HSM!E157</f>
        <v>9072</v>
      </c>
      <c r="G258" s="263">
        <f>D258*F258</f>
        <v>907200</v>
      </c>
      <c r="I258" s="457"/>
    </row>
    <row r="259" spans="1:9" x14ac:dyDescent="0.25">
      <c r="A259" s="258"/>
      <c r="B259" s="408" t="s">
        <v>1182</v>
      </c>
      <c r="C259" s="261"/>
      <c r="D259" s="448">
        <v>1.1499999999999999</v>
      </c>
      <c r="E259" s="345" t="s">
        <v>38</v>
      </c>
      <c r="F259" s="261">
        <f>HSM!E181</f>
        <v>13500</v>
      </c>
      <c r="G259" s="263">
        <f>D259*F259</f>
        <v>15524.999999999998</v>
      </c>
      <c r="I259" s="457"/>
    </row>
    <row r="260" spans="1:9" x14ac:dyDescent="0.25">
      <c r="A260" s="258"/>
      <c r="B260" s="408" t="s">
        <v>217</v>
      </c>
      <c r="C260" s="261"/>
      <c r="D260" s="448">
        <v>3.65</v>
      </c>
      <c r="E260" s="345" t="s">
        <v>228</v>
      </c>
      <c r="F260" s="261">
        <f>VLOOKUP($B260,HSU!$B$6:$D$38,3,FALSE)</f>
        <v>70000</v>
      </c>
      <c r="G260" s="262">
        <f>D260*F260</f>
        <v>255500</v>
      </c>
      <c r="H260" s="263"/>
      <c r="I260" s="457"/>
    </row>
    <row r="261" spans="1:9" x14ac:dyDescent="0.25">
      <c r="A261" s="258"/>
      <c r="B261" s="408" t="s">
        <v>1179</v>
      </c>
      <c r="C261" s="261"/>
      <c r="D261" s="448">
        <v>1.3</v>
      </c>
      <c r="E261" s="345" t="s">
        <v>228</v>
      </c>
      <c r="F261" s="261">
        <f>VLOOKUP($B261,HSU!$B$6:$D$38,3,FALSE)</f>
        <v>80000</v>
      </c>
      <c r="G261" s="262">
        <f>D261*F261</f>
        <v>104000</v>
      </c>
      <c r="H261" s="263"/>
      <c r="I261" s="457"/>
    </row>
    <row r="262" spans="1:9" x14ac:dyDescent="0.25">
      <c r="A262" s="258"/>
      <c r="B262" s="408" t="s">
        <v>1180</v>
      </c>
      <c r="C262" s="261"/>
      <c r="D262" s="448">
        <f>D261/3</f>
        <v>0.43333333333333335</v>
      </c>
      <c r="E262" s="345" t="s">
        <v>228</v>
      </c>
      <c r="F262" s="261">
        <f>VLOOKUP($B262,HSU!$B$6:$D$38,3,FALSE)</f>
        <v>90000</v>
      </c>
      <c r="G262" s="262">
        <f>D262*F262</f>
        <v>39000</v>
      </c>
      <c r="H262" s="263"/>
      <c r="I262" s="457"/>
    </row>
    <row r="263" spans="1:9" x14ac:dyDescent="0.25">
      <c r="A263" s="258"/>
      <c r="B263" s="408" t="s">
        <v>220</v>
      </c>
      <c r="C263" s="261"/>
      <c r="D263" s="448">
        <f>D262</f>
        <v>0.43333333333333335</v>
      </c>
      <c r="E263" s="345" t="s">
        <v>228</v>
      </c>
      <c r="F263" s="261">
        <f>VLOOKUP($B263,HSU!$B$6:$D$38,3,FALSE)</f>
        <v>85000</v>
      </c>
      <c r="G263" s="262">
        <f>D263*F263</f>
        <v>36833.333333333336</v>
      </c>
      <c r="H263" s="263"/>
      <c r="I263" s="457"/>
    </row>
    <row r="264" spans="1:9" x14ac:dyDescent="0.25">
      <c r="A264" s="272"/>
      <c r="B264" s="388" t="s">
        <v>222</v>
      </c>
      <c r="C264" s="274"/>
      <c r="D264" s="424"/>
      <c r="E264" s="273"/>
      <c r="F264" s="274"/>
      <c r="G264" s="275">
        <f>SUM(G258:G263)</f>
        <v>1358058.3333333333</v>
      </c>
      <c r="H264" s="275"/>
      <c r="I264" s="459">
        <f>G264+H264</f>
        <v>1358058.3333333333</v>
      </c>
    </row>
    <row r="265" spans="1:9" x14ac:dyDescent="0.25">
      <c r="A265" s="277"/>
      <c r="B265" s="389" t="s">
        <v>229</v>
      </c>
      <c r="C265" s="279"/>
      <c r="D265" s="425"/>
      <c r="E265" s="278"/>
      <c r="F265" s="279"/>
      <c r="G265" s="280"/>
      <c r="H265" s="281"/>
      <c r="I265" s="460">
        <f>I264*0.15</f>
        <v>203708.74999999997</v>
      </c>
    </row>
    <row r="266" spans="1:9" x14ac:dyDescent="0.25">
      <c r="A266" s="277"/>
      <c r="B266" s="389" t="s">
        <v>222</v>
      </c>
      <c r="C266" s="279"/>
      <c r="D266" s="426"/>
      <c r="E266" s="278"/>
      <c r="F266" s="279"/>
      <c r="G266" s="262"/>
      <c r="H266" s="281"/>
      <c r="I266" s="461">
        <f>I264+I265</f>
        <v>1561767.0833333333</v>
      </c>
    </row>
    <row r="267" spans="1:9" x14ac:dyDescent="0.25">
      <c r="A267" s="282"/>
      <c r="B267" s="390" t="s">
        <v>230</v>
      </c>
      <c r="C267" s="284"/>
      <c r="D267" s="427"/>
      <c r="E267" s="283"/>
      <c r="F267" s="284"/>
      <c r="G267" s="324"/>
      <c r="H267" s="325"/>
      <c r="I267" s="462">
        <f>ROUNDUP(I266,-2)</f>
        <v>1561800</v>
      </c>
    </row>
    <row r="268" spans="1:9" x14ac:dyDescent="0.25">
      <c r="I268" s="463"/>
    </row>
    <row r="269" spans="1:9" x14ac:dyDescent="0.25">
      <c r="A269" s="258"/>
      <c r="B269" s="385" t="s">
        <v>1193</v>
      </c>
      <c r="C269" s="261"/>
      <c r="D269" s="422"/>
      <c r="E269" s="265"/>
      <c r="F269" s="261"/>
      <c r="G269" s="262"/>
      <c r="H269" s="263"/>
      <c r="I269" s="457"/>
    </row>
    <row r="270" spans="1:9" ht="26.25" x14ac:dyDescent="0.25">
      <c r="A270" s="258">
        <v>21</v>
      </c>
      <c r="B270" s="385" t="s">
        <v>1197</v>
      </c>
      <c r="C270" s="261"/>
      <c r="D270" s="422">
        <v>1</v>
      </c>
      <c r="E270" s="265" t="s">
        <v>14</v>
      </c>
      <c r="F270" s="261"/>
      <c r="G270" s="262"/>
      <c r="H270" s="263"/>
      <c r="I270" s="457"/>
    </row>
    <row r="271" spans="1:9" x14ac:dyDescent="0.25">
      <c r="A271" s="258" t="s">
        <v>231</v>
      </c>
      <c r="B271" s="408" t="s">
        <v>1196</v>
      </c>
      <c r="C271" s="261"/>
      <c r="D271" s="448">
        <v>0.128</v>
      </c>
      <c r="E271" s="345" t="s">
        <v>1185</v>
      </c>
      <c r="F271" s="261">
        <f>HSM!E88</f>
        <v>69000</v>
      </c>
      <c r="G271" s="263">
        <f>D271*F271</f>
        <v>8832</v>
      </c>
      <c r="I271" s="457"/>
    </row>
    <row r="272" spans="1:9" x14ac:dyDescent="0.25">
      <c r="A272" s="258"/>
      <c r="B272" s="408" t="s">
        <v>1183</v>
      </c>
      <c r="C272" s="261"/>
      <c r="D272" s="448">
        <v>7.0000000000000001E-3</v>
      </c>
      <c r="E272" s="345" t="s">
        <v>20</v>
      </c>
      <c r="F272" s="261">
        <f>HSM!E76</f>
        <v>3857142.6</v>
      </c>
      <c r="G272" s="263">
        <f>D272*F272</f>
        <v>26999.998200000002</v>
      </c>
      <c r="I272" s="457"/>
    </row>
    <row r="273" spans="1:9" x14ac:dyDescent="0.25">
      <c r="A273" s="258"/>
      <c r="B273" s="408" t="s">
        <v>1178</v>
      </c>
      <c r="C273" s="261"/>
      <c r="D273" s="448">
        <v>0.25</v>
      </c>
      <c r="E273" s="345" t="s">
        <v>233</v>
      </c>
      <c r="F273" s="261">
        <f>HSM!E170</f>
        <v>24000</v>
      </c>
      <c r="G273" s="263">
        <f>D273*F273</f>
        <v>6000</v>
      </c>
      <c r="I273" s="457"/>
    </row>
    <row r="274" spans="1:9" x14ac:dyDescent="0.25">
      <c r="A274" s="258"/>
      <c r="B274" s="408" t="s">
        <v>1184</v>
      </c>
      <c r="C274" s="261"/>
      <c r="D274" s="448">
        <v>0.2</v>
      </c>
      <c r="E274" s="345" t="s">
        <v>1175</v>
      </c>
      <c r="F274" s="261">
        <f>HSM!E607</f>
        <v>7000</v>
      </c>
      <c r="G274" s="263">
        <f>D274*F274</f>
        <v>1400</v>
      </c>
      <c r="I274" s="457"/>
    </row>
    <row r="275" spans="1:9" x14ac:dyDescent="0.25">
      <c r="A275" s="258"/>
      <c r="B275" s="408" t="s">
        <v>217</v>
      </c>
      <c r="C275" s="261"/>
      <c r="D275" s="448">
        <v>0.33</v>
      </c>
      <c r="E275" s="345" t="s">
        <v>228</v>
      </c>
      <c r="F275" s="261">
        <f>VLOOKUP($B275,HSU!$B$6:$D$38,3,FALSE)</f>
        <v>70000</v>
      </c>
      <c r="G275" s="262">
        <f>D275*F275</f>
        <v>23100</v>
      </c>
      <c r="H275" s="263"/>
      <c r="I275" s="457"/>
    </row>
    <row r="276" spans="1:9" x14ac:dyDescent="0.25">
      <c r="A276" s="258"/>
      <c r="B276" s="408" t="s">
        <v>1177</v>
      </c>
      <c r="C276" s="261"/>
      <c r="D276" s="448">
        <v>0.33</v>
      </c>
      <c r="E276" s="345" t="s">
        <v>228</v>
      </c>
      <c r="F276" s="261">
        <f>VLOOKUP($B276,HSU!$B$6:$D$38,3,FALSE)</f>
        <v>80000</v>
      </c>
      <c r="G276" s="262">
        <f>D276*F276</f>
        <v>26400</v>
      </c>
      <c r="H276" s="263"/>
      <c r="I276" s="457"/>
    </row>
    <row r="277" spans="1:9" x14ac:dyDescent="0.25">
      <c r="A277" s="258"/>
      <c r="B277" s="408" t="s">
        <v>1114</v>
      </c>
      <c r="C277" s="261"/>
      <c r="D277" s="448">
        <v>3.3000000000000002E-2</v>
      </c>
      <c r="E277" s="345" t="s">
        <v>228</v>
      </c>
      <c r="F277" s="261">
        <f>VLOOKUP($B277,HSU!$B$6:$D$38,3,FALSE)</f>
        <v>90000</v>
      </c>
      <c r="G277" s="262">
        <f>D277*F277</f>
        <v>2970</v>
      </c>
      <c r="H277" s="263"/>
      <c r="I277" s="457"/>
    </row>
    <row r="278" spans="1:9" x14ac:dyDescent="0.25">
      <c r="A278" s="258"/>
      <c r="B278" s="408" t="s">
        <v>220</v>
      </c>
      <c r="C278" s="261"/>
      <c r="D278" s="448">
        <v>3.3000000000000002E-2</v>
      </c>
      <c r="E278" s="345" t="s">
        <v>228</v>
      </c>
      <c r="F278" s="261">
        <f>VLOOKUP($B278,HSU!$B$6:$D$38,3,FALSE)</f>
        <v>85000</v>
      </c>
      <c r="G278" s="262">
        <f>D278*F278</f>
        <v>2805</v>
      </c>
      <c r="H278" s="263"/>
      <c r="I278" s="457"/>
    </row>
    <row r="279" spans="1:9" x14ac:dyDescent="0.25">
      <c r="A279" s="272"/>
      <c r="B279" s="388" t="s">
        <v>222</v>
      </c>
      <c r="C279" s="274"/>
      <c r="D279" s="424"/>
      <c r="E279" s="273"/>
      <c r="F279" s="274"/>
      <c r="G279" s="275">
        <f>SUM(G275:G278)</f>
        <v>55275</v>
      </c>
      <c r="H279" s="275">
        <f>SUM(G271:G274)</f>
        <v>43231.998200000002</v>
      </c>
      <c r="I279" s="459">
        <f>G279+H279</f>
        <v>98506.998200000002</v>
      </c>
    </row>
    <row r="280" spans="1:9" x14ac:dyDescent="0.25">
      <c r="A280" s="277"/>
      <c r="B280" s="389" t="s">
        <v>229</v>
      </c>
      <c r="C280" s="279"/>
      <c r="D280" s="425"/>
      <c r="E280" s="278"/>
      <c r="F280" s="279"/>
      <c r="G280" s="280"/>
      <c r="H280" s="281"/>
      <c r="I280" s="460">
        <f>I279*0.15</f>
        <v>14776.049729999999</v>
      </c>
    </row>
    <row r="281" spans="1:9" x14ac:dyDescent="0.25">
      <c r="A281" s="277"/>
      <c r="B281" s="389" t="s">
        <v>222</v>
      </c>
      <c r="C281" s="279"/>
      <c r="D281" s="426"/>
      <c r="E281" s="278"/>
      <c r="F281" s="279"/>
      <c r="G281" s="262"/>
      <c r="H281" s="281"/>
      <c r="I281" s="461">
        <f>I279+I280</f>
        <v>113283.04793</v>
      </c>
    </row>
    <row r="282" spans="1:9" x14ac:dyDescent="0.25">
      <c r="A282" s="282"/>
      <c r="B282" s="390" t="s">
        <v>230</v>
      </c>
      <c r="C282" s="284"/>
      <c r="D282" s="427"/>
      <c r="E282" s="283"/>
      <c r="F282" s="284"/>
      <c r="G282" s="324"/>
      <c r="H282" s="325"/>
      <c r="I282" s="462">
        <f>ROUNDUP(I281,-2)</f>
        <v>113300</v>
      </c>
    </row>
    <row r="283" spans="1:9" x14ac:dyDescent="0.25">
      <c r="I283" s="463"/>
    </row>
    <row r="284" spans="1:9" x14ac:dyDescent="0.25">
      <c r="A284" s="258"/>
      <c r="B284" s="385" t="s">
        <v>1188</v>
      </c>
      <c r="C284" s="261"/>
      <c r="D284" s="422"/>
      <c r="E284" s="265"/>
      <c r="F284" s="261"/>
      <c r="G284" s="262"/>
      <c r="H284" s="263"/>
      <c r="I284" s="457"/>
    </row>
    <row r="285" spans="1:9" ht="26.25" x14ac:dyDescent="0.25">
      <c r="A285" s="258">
        <v>22</v>
      </c>
      <c r="B285" s="385" t="s">
        <v>1198</v>
      </c>
      <c r="C285" s="261"/>
      <c r="D285" s="422">
        <v>1</v>
      </c>
      <c r="E285" s="265" t="s">
        <v>14</v>
      </c>
      <c r="F285" s="261"/>
      <c r="G285" s="262"/>
      <c r="H285" s="263"/>
      <c r="I285" s="457"/>
    </row>
    <row r="286" spans="1:9" x14ac:dyDescent="0.25">
      <c r="A286" s="258" t="s">
        <v>231</v>
      </c>
      <c r="B286" s="408" t="s">
        <v>1196</v>
      </c>
      <c r="C286" s="261"/>
      <c r="D286" s="448">
        <v>0.128</v>
      </c>
      <c r="E286" s="345" t="s">
        <v>1185</v>
      </c>
      <c r="F286" s="261">
        <f>HSM!E88</f>
        <v>69000</v>
      </c>
      <c r="G286" s="263">
        <f>D286*F286</f>
        <v>8832</v>
      </c>
      <c r="I286" s="457"/>
    </row>
    <row r="287" spans="1:9" x14ac:dyDescent="0.25">
      <c r="A287" s="258"/>
      <c r="B287" s="408" t="s">
        <v>1183</v>
      </c>
      <c r="C287" s="261"/>
      <c r="D287" s="448">
        <v>7.0000000000000001E-3</v>
      </c>
      <c r="E287" s="345" t="s">
        <v>20</v>
      </c>
      <c r="F287" s="261">
        <f>HSM!E76</f>
        <v>3857142.6</v>
      </c>
      <c r="G287" s="263">
        <f>D287*F287</f>
        <v>26999.998200000002</v>
      </c>
      <c r="I287" s="457"/>
    </row>
    <row r="288" spans="1:9" x14ac:dyDescent="0.25">
      <c r="A288" s="258"/>
      <c r="B288" s="408" t="s">
        <v>1178</v>
      </c>
      <c r="C288" s="261"/>
      <c r="D288" s="448">
        <v>0.25</v>
      </c>
      <c r="E288" s="345" t="s">
        <v>233</v>
      </c>
      <c r="F288" s="261">
        <f>HSM!E170</f>
        <v>24000</v>
      </c>
      <c r="G288" s="263">
        <f>D288*F288</f>
        <v>6000</v>
      </c>
      <c r="I288" s="457"/>
    </row>
    <row r="289" spans="1:9" x14ac:dyDescent="0.25">
      <c r="A289" s="258"/>
      <c r="B289" s="408" t="s">
        <v>1184</v>
      </c>
      <c r="C289" s="261"/>
      <c r="D289" s="448">
        <v>0.2</v>
      </c>
      <c r="E289" s="345" t="s">
        <v>1175</v>
      </c>
      <c r="F289" s="261">
        <f>HSM!E607</f>
        <v>7000</v>
      </c>
      <c r="G289" s="263">
        <f>D289*F289</f>
        <v>1400</v>
      </c>
      <c r="I289" s="457"/>
    </row>
    <row r="290" spans="1:9" x14ac:dyDescent="0.25">
      <c r="A290" s="258"/>
      <c r="B290" s="408" t="s">
        <v>217</v>
      </c>
      <c r="C290" s="261"/>
      <c r="D290" s="448">
        <v>0.33</v>
      </c>
      <c r="E290" s="345" t="s">
        <v>228</v>
      </c>
      <c r="F290" s="261">
        <f>VLOOKUP($B290,HSU!$B$6:$D$38,3,FALSE)</f>
        <v>70000</v>
      </c>
      <c r="G290" s="262">
        <f>D290*F290</f>
        <v>23100</v>
      </c>
      <c r="H290" s="263"/>
      <c r="I290" s="457"/>
    </row>
    <row r="291" spans="1:9" x14ac:dyDescent="0.25">
      <c r="A291" s="258"/>
      <c r="B291" s="408" t="s">
        <v>1177</v>
      </c>
      <c r="C291" s="261"/>
      <c r="D291" s="448">
        <v>0.33</v>
      </c>
      <c r="E291" s="345" t="s">
        <v>228</v>
      </c>
      <c r="F291" s="261">
        <f>VLOOKUP($B291,HSU!$B$6:$D$38,3,FALSE)</f>
        <v>80000</v>
      </c>
      <c r="G291" s="262">
        <f>D291*F291</f>
        <v>26400</v>
      </c>
      <c r="H291" s="263"/>
      <c r="I291" s="457"/>
    </row>
    <row r="292" spans="1:9" x14ac:dyDescent="0.25">
      <c r="A292" s="258"/>
      <c r="B292" s="408" t="s">
        <v>1114</v>
      </c>
      <c r="C292" s="261"/>
      <c r="D292" s="448">
        <v>3.3000000000000002E-2</v>
      </c>
      <c r="E292" s="345" t="s">
        <v>228</v>
      </c>
      <c r="F292" s="261">
        <f>VLOOKUP($B292,HSU!$B$6:$D$38,3,FALSE)</f>
        <v>90000</v>
      </c>
      <c r="G292" s="262">
        <f>D292*F292</f>
        <v>2970</v>
      </c>
      <c r="H292" s="263"/>
      <c r="I292" s="457"/>
    </row>
    <row r="293" spans="1:9" x14ac:dyDescent="0.25">
      <c r="A293" s="258"/>
      <c r="B293" s="408" t="s">
        <v>220</v>
      </c>
      <c r="C293" s="261"/>
      <c r="D293" s="448">
        <v>3.3000000000000002E-2</v>
      </c>
      <c r="E293" s="345" t="s">
        <v>228</v>
      </c>
      <c r="F293" s="261">
        <f>VLOOKUP($B293,HSU!$B$6:$D$38,3,FALSE)</f>
        <v>85000</v>
      </c>
      <c r="G293" s="262">
        <f>D293*F293</f>
        <v>2805</v>
      </c>
      <c r="H293" s="263"/>
      <c r="I293" s="457"/>
    </row>
    <row r="294" spans="1:9" x14ac:dyDescent="0.25">
      <c r="A294" s="272"/>
      <c r="B294" s="388" t="s">
        <v>222</v>
      </c>
      <c r="C294" s="274"/>
      <c r="D294" s="424"/>
      <c r="E294" s="273"/>
      <c r="F294" s="274"/>
      <c r="G294" s="275">
        <f>SUM(G286:G293)</f>
        <v>98506.998200000002</v>
      </c>
      <c r="H294" s="275"/>
      <c r="I294" s="459">
        <f>G294+H294</f>
        <v>98506.998200000002</v>
      </c>
    </row>
    <row r="295" spans="1:9" x14ac:dyDescent="0.25">
      <c r="A295" s="277"/>
      <c r="B295" s="389" t="s">
        <v>229</v>
      </c>
      <c r="C295" s="279"/>
      <c r="D295" s="425"/>
      <c r="E295" s="278"/>
      <c r="F295" s="279"/>
      <c r="G295" s="280"/>
      <c r="H295" s="281"/>
      <c r="I295" s="460">
        <f>I294*0.15</f>
        <v>14776.049729999999</v>
      </c>
    </row>
    <row r="296" spans="1:9" x14ac:dyDescent="0.25">
      <c r="A296" s="277"/>
      <c r="B296" s="389" t="s">
        <v>222</v>
      </c>
      <c r="C296" s="279"/>
      <c r="D296" s="426"/>
      <c r="E296" s="278"/>
      <c r="F296" s="279"/>
      <c r="G296" s="262"/>
      <c r="H296" s="281"/>
      <c r="I296" s="461">
        <f>I294+I295</f>
        <v>113283.04793</v>
      </c>
    </row>
    <row r="297" spans="1:9" x14ac:dyDescent="0.25">
      <c r="A297" s="282"/>
      <c r="B297" s="390" t="s">
        <v>230</v>
      </c>
      <c r="C297" s="284"/>
      <c r="D297" s="427"/>
      <c r="E297" s="283"/>
      <c r="F297" s="284"/>
      <c r="G297" s="324"/>
      <c r="H297" s="325"/>
      <c r="I297" s="462">
        <f>ROUNDUP(I296,-2)</f>
        <v>113300</v>
      </c>
    </row>
    <row r="298" spans="1:9" x14ac:dyDescent="0.25">
      <c r="I298" s="463"/>
    </row>
    <row r="299" spans="1:9" x14ac:dyDescent="0.25">
      <c r="A299" s="258"/>
      <c r="B299" s="385" t="s">
        <v>1190</v>
      </c>
      <c r="C299" s="261"/>
      <c r="D299" s="422"/>
      <c r="E299" s="265"/>
      <c r="F299" s="261"/>
      <c r="G299" s="262"/>
      <c r="H299" s="263"/>
      <c r="I299" s="457"/>
    </row>
    <row r="300" spans="1:9" ht="39" x14ac:dyDescent="0.25">
      <c r="A300" s="258">
        <v>23</v>
      </c>
      <c r="B300" s="385" t="s">
        <v>1199</v>
      </c>
      <c r="C300" s="261"/>
      <c r="D300" s="422">
        <v>1</v>
      </c>
      <c r="E300" s="265" t="s">
        <v>14</v>
      </c>
      <c r="F300" s="261"/>
      <c r="G300" s="262"/>
      <c r="H300" s="263"/>
      <c r="I300" s="457"/>
    </row>
    <row r="301" spans="1:9" x14ac:dyDescent="0.25">
      <c r="A301" s="258" t="s">
        <v>231</v>
      </c>
      <c r="B301" s="408" t="s">
        <v>1196</v>
      </c>
      <c r="C301" s="261"/>
      <c r="D301" s="448">
        <v>0.128</v>
      </c>
      <c r="E301" s="345" t="s">
        <v>1185</v>
      </c>
      <c r="F301" s="261">
        <f>HSM!E88</f>
        <v>69000</v>
      </c>
      <c r="G301" s="263">
        <f>D301*F301</f>
        <v>8832</v>
      </c>
      <c r="I301" s="457"/>
    </row>
    <row r="302" spans="1:9" x14ac:dyDescent="0.25">
      <c r="A302" s="258"/>
      <c r="B302" s="408" t="s">
        <v>1183</v>
      </c>
      <c r="C302" s="261"/>
      <c r="D302" s="448">
        <v>1.2999999999999999E-2</v>
      </c>
      <c r="E302" s="345" t="s">
        <v>20</v>
      </c>
      <c r="F302" s="261">
        <f>HSM!E76</f>
        <v>3857142.6</v>
      </c>
      <c r="G302" s="263">
        <f>D302*F302</f>
        <v>50142.853799999997</v>
      </c>
      <c r="I302" s="457"/>
    </row>
    <row r="303" spans="1:9" x14ac:dyDescent="0.25">
      <c r="A303" s="258"/>
      <c r="B303" s="408" t="s">
        <v>1178</v>
      </c>
      <c r="C303" s="261"/>
      <c r="D303" s="448">
        <v>0.32</v>
      </c>
      <c r="E303" s="345" t="s">
        <v>233</v>
      </c>
      <c r="F303" s="261">
        <f>HSM!E170</f>
        <v>24000</v>
      </c>
      <c r="G303" s="263">
        <f>D303*F303</f>
        <v>7680</v>
      </c>
      <c r="I303" s="457"/>
    </row>
    <row r="304" spans="1:9" x14ac:dyDescent="0.25">
      <c r="A304" s="258"/>
      <c r="B304" s="408" t="s">
        <v>1184</v>
      </c>
      <c r="C304" s="261"/>
      <c r="D304" s="448">
        <v>0.25</v>
      </c>
      <c r="E304" s="345" t="s">
        <v>1175</v>
      </c>
      <c r="F304" s="261">
        <f>HSM!E607</f>
        <v>7000</v>
      </c>
      <c r="G304" s="263">
        <f>D304*F304</f>
        <v>1750</v>
      </c>
      <c r="I304" s="457"/>
    </row>
    <row r="305" spans="1:9" x14ac:dyDescent="0.25">
      <c r="A305" s="258"/>
      <c r="B305" s="408" t="s">
        <v>217</v>
      </c>
      <c r="C305" s="261"/>
      <c r="D305" s="448">
        <v>0.36</v>
      </c>
      <c r="E305" s="345" t="s">
        <v>228</v>
      </c>
      <c r="F305" s="261">
        <f>VLOOKUP($B305,HSU!$B$6:$D$38,3,FALSE)</f>
        <v>70000</v>
      </c>
      <c r="G305" s="262">
        <f>D305*F305</f>
        <v>25200</v>
      </c>
      <c r="H305" s="263"/>
      <c r="I305" s="457"/>
    </row>
    <row r="306" spans="1:9" x14ac:dyDescent="0.25">
      <c r="A306" s="258"/>
      <c r="B306" s="408" t="s">
        <v>1177</v>
      </c>
      <c r="C306" s="261"/>
      <c r="D306" s="448">
        <v>0.36</v>
      </c>
      <c r="E306" s="345" t="s">
        <v>228</v>
      </c>
      <c r="F306" s="261">
        <f>VLOOKUP($B306,HSU!$B$6:$D$38,3,FALSE)</f>
        <v>80000</v>
      </c>
      <c r="G306" s="262">
        <f>D306*F306</f>
        <v>28800</v>
      </c>
      <c r="H306" s="263"/>
      <c r="I306" s="457"/>
    </row>
    <row r="307" spans="1:9" x14ac:dyDescent="0.25">
      <c r="A307" s="258"/>
      <c r="B307" s="408" t="s">
        <v>1114</v>
      </c>
      <c r="C307" s="261"/>
      <c r="D307" s="448">
        <v>3.5999999999999997E-2</v>
      </c>
      <c r="E307" s="345" t="s">
        <v>228</v>
      </c>
      <c r="F307" s="261">
        <f>VLOOKUP($B307,HSU!$B$6:$D$38,3,FALSE)</f>
        <v>90000</v>
      </c>
      <c r="G307" s="262">
        <f>D307*F307</f>
        <v>3239.9999999999995</v>
      </c>
      <c r="H307" s="263"/>
      <c r="I307" s="457"/>
    </row>
    <row r="308" spans="1:9" x14ac:dyDescent="0.25">
      <c r="A308" s="258"/>
      <c r="B308" s="408" t="s">
        <v>220</v>
      </c>
      <c r="C308" s="261"/>
      <c r="D308" s="448">
        <v>3.5999999999999997E-2</v>
      </c>
      <c r="E308" s="345" t="s">
        <v>228</v>
      </c>
      <c r="F308" s="261">
        <f>VLOOKUP($B308,HSU!$B$6:$D$38,3,FALSE)</f>
        <v>85000</v>
      </c>
      <c r="G308" s="262">
        <f>D308*F308</f>
        <v>3059.9999999999995</v>
      </c>
      <c r="H308" s="263"/>
      <c r="I308" s="457"/>
    </row>
    <row r="309" spans="1:9" x14ac:dyDescent="0.25">
      <c r="A309" s="272"/>
      <c r="B309" s="388" t="s">
        <v>222</v>
      </c>
      <c r="C309" s="274"/>
      <c r="D309" s="424"/>
      <c r="E309" s="273"/>
      <c r="F309" s="274"/>
      <c r="G309" s="275">
        <f>SUM(G301:G308)</f>
        <v>128704.8538</v>
      </c>
      <c r="H309" s="275"/>
      <c r="I309" s="459">
        <f>G309+H309</f>
        <v>128704.8538</v>
      </c>
    </row>
    <row r="310" spans="1:9" x14ac:dyDescent="0.25">
      <c r="A310" s="277"/>
      <c r="B310" s="389" t="s">
        <v>229</v>
      </c>
      <c r="C310" s="279"/>
      <c r="D310" s="425"/>
      <c r="E310" s="278"/>
      <c r="F310" s="279"/>
      <c r="G310" s="280"/>
      <c r="H310" s="281"/>
      <c r="I310" s="460">
        <f>I309*0.15</f>
        <v>19305.728069999997</v>
      </c>
    </row>
    <row r="311" spans="1:9" x14ac:dyDescent="0.25">
      <c r="A311" s="277"/>
      <c r="B311" s="389" t="s">
        <v>222</v>
      </c>
      <c r="C311" s="279"/>
      <c r="D311" s="426"/>
      <c r="E311" s="278"/>
      <c r="F311" s="279"/>
      <c r="G311" s="262"/>
      <c r="H311" s="281"/>
      <c r="I311" s="461">
        <f>I309+I310</f>
        <v>148010.58186999999</v>
      </c>
    </row>
    <row r="312" spans="1:9" x14ac:dyDescent="0.25">
      <c r="A312" s="282"/>
      <c r="B312" s="390" t="s">
        <v>230</v>
      </c>
      <c r="C312" s="284"/>
      <c r="D312" s="427"/>
      <c r="E312" s="283"/>
      <c r="F312" s="284"/>
      <c r="G312" s="324"/>
      <c r="H312" s="325"/>
      <c r="I312" s="462">
        <f>ROUNDUP(I311,-2)</f>
        <v>148100</v>
      </c>
    </row>
    <row r="313" spans="1:9" x14ac:dyDescent="0.25">
      <c r="I313" s="463"/>
    </row>
    <row r="314" spans="1:9" x14ac:dyDescent="0.25">
      <c r="A314" s="258"/>
      <c r="B314" s="385" t="s">
        <v>1187</v>
      </c>
      <c r="C314" s="261"/>
      <c r="D314" s="422"/>
      <c r="E314" s="265"/>
      <c r="F314" s="261"/>
      <c r="G314" s="262"/>
      <c r="H314" s="263"/>
      <c r="I314" s="457"/>
    </row>
    <row r="315" spans="1:9" ht="26.25" x14ac:dyDescent="0.25">
      <c r="A315" s="258">
        <v>24</v>
      </c>
      <c r="B315" s="385" t="s">
        <v>1195</v>
      </c>
      <c r="C315" s="261"/>
      <c r="D315" s="422">
        <v>1</v>
      </c>
      <c r="E315" s="265" t="s">
        <v>14</v>
      </c>
      <c r="F315" s="261"/>
      <c r="G315" s="262"/>
      <c r="H315" s="263"/>
      <c r="I315" s="457"/>
    </row>
    <row r="316" spans="1:9" x14ac:dyDescent="0.25">
      <c r="A316" s="258" t="s">
        <v>231</v>
      </c>
      <c r="B316" s="408" t="s">
        <v>1196</v>
      </c>
      <c r="C316" s="261"/>
      <c r="D316" s="448">
        <v>0.128</v>
      </c>
      <c r="E316" s="345" t="s">
        <v>1185</v>
      </c>
      <c r="F316" s="261">
        <f>HSM!E88</f>
        <v>69000</v>
      </c>
      <c r="G316" s="263">
        <f>D316*F316</f>
        <v>8832</v>
      </c>
      <c r="I316" s="457"/>
    </row>
    <row r="317" spans="1:9" x14ac:dyDescent="0.25">
      <c r="A317" s="258"/>
      <c r="B317" s="408" t="s">
        <v>1183</v>
      </c>
      <c r="C317" s="261"/>
      <c r="D317" s="448">
        <v>1.2999999999999999E-2</v>
      </c>
      <c r="E317" s="345" t="s">
        <v>20</v>
      </c>
      <c r="F317" s="261">
        <f>HSM!E76</f>
        <v>3857142.6</v>
      </c>
      <c r="G317" s="263">
        <f>D317*F317</f>
        <v>50142.853799999997</v>
      </c>
      <c r="I317" s="457"/>
    </row>
    <row r="318" spans="1:9" x14ac:dyDescent="0.25">
      <c r="A318" s="258"/>
      <c r="B318" s="408" t="s">
        <v>1178</v>
      </c>
      <c r="C318" s="261"/>
      <c r="D318" s="448">
        <v>0.32</v>
      </c>
      <c r="E318" s="345" t="s">
        <v>233</v>
      </c>
      <c r="F318" s="261">
        <f>HSM!E170</f>
        <v>24000</v>
      </c>
      <c r="G318" s="263">
        <f>D318*F318</f>
        <v>7680</v>
      </c>
      <c r="I318" s="457"/>
    </row>
    <row r="319" spans="1:9" x14ac:dyDescent="0.25">
      <c r="A319" s="258"/>
      <c r="B319" s="408" t="s">
        <v>1184</v>
      </c>
      <c r="C319" s="261"/>
      <c r="D319" s="448">
        <v>0.25</v>
      </c>
      <c r="E319" s="345" t="s">
        <v>1175</v>
      </c>
      <c r="F319" s="261">
        <f>HSM!E607</f>
        <v>7000</v>
      </c>
      <c r="G319" s="263">
        <f>D319*F319</f>
        <v>1750</v>
      </c>
      <c r="I319" s="457"/>
    </row>
    <row r="320" spans="1:9" x14ac:dyDescent="0.25">
      <c r="A320" s="258"/>
      <c r="B320" s="408" t="s">
        <v>217</v>
      </c>
      <c r="C320" s="261"/>
      <c r="D320" s="448">
        <v>0.36</v>
      </c>
      <c r="E320" s="345" t="s">
        <v>228</v>
      </c>
      <c r="F320" s="261">
        <f>VLOOKUP($B320,HSU!$B$6:$D$38,3,FALSE)</f>
        <v>70000</v>
      </c>
      <c r="G320" s="262">
        <f>D320*F320</f>
        <v>25200</v>
      </c>
      <c r="H320" s="263"/>
      <c r="I320" s="457"/>
    </row>
    <row r="321" spans="1:9" x14ac:dyDescent="0.25">
      <c r="A321" s="258"/>
      <c r="B321" s="408" t="s">
        <v>1177</v>
      </c>
      <c r="C321" s="261"/>
      <c r="D321" s="448">
        <v>0.36</v>
      </c>
      <c r="E321" s="345" t="s">
        <v>228</v>
      </c>
      <c r="F321" s="261">
        <f>VLOOKUP($B321,HSU!$B$6:$D$38,3,FALSE)</f>
        <v>80000</v>
      </c>
      <c r="G321" s="262">
        <f>D321*F321</f>
        <v>28800</v>
      </c>
      <c r="H321" s="263"/>
      <c r="I321" s="457"/>
    </row>
    <row r="322" spans="1:9" x14ac:dyDescent="0.25">
      <c r="A322" s="258"/>
      <c r="B322" s="408" t="s">
        <v>1114</v>
      </c>
      <c r="C322" s="261"/>
      <c r="D322" s="448">
        <v>3.5999999999999997E-2</v>
      </c>
      <c r="E322" s="345" t="s">
        <v>228</v>
      </c>
      <c r="F322" s="261">
        <f>VLOOKUP($B322,HSU!$B$6:$D$38,3,FALSE)</f>
        <v>90000</v>
      </c>
      <c r="G322" s="262">
        <f>D322*F322</f>
        <v>3239.9999999999995</v>
      </c>
      <c r="H322" s="263"/>
      <c r="I322" s="457"/>
    </row>
    <row r="323" spans="1:9" x14ac:dyDescent="0.25">
      <c r="A323" s="258"/>
      <c r="B323" s="408" t="s">
        <v>220</v>
      </c>
      <c r="C323" s="261"/>
      <c r="D323" s="448">
        <v>3.5999999999999997E-2</v>
      </c>
      <c r="E323" s="345" t="s">
        <v>228</v>
      </c>
      <c r="F323" s="261">
        <f>VLOOKUP($B323,HSU!$B$6:$D$38,3,FALSE)</f>
        <v>85000</v>
      </c>
      <c r="G323" s="262">
        <f>D323*F323</f>
        <v>3059.9999999999995</v>
      </c>
      <c r="H323" s="263"/>
      <c r="I323" s="457"/>
    </row>
    <row r="324" spans="1:9" x14ac:dyDescent="0.25">
      <c r="A324" s="272"/>
      <c r="B324" s="388" t="s">
        <v>222</v>
      </c>
      <c r="C324" s="274"/>
      <c r="D324" s="424"/>
      <c r="E324" s="273"/>
      <c r="F324" s="274"/>
      <c r="G324" s="275">
        <f>SUM(G316:G323)</f>
        <v>128704.8538</v>
      </c>
      <c r="H324" s="275"/>
      <c r="I324" s="459">
        <f>G324+H324</f>
        <v>128704.8538</v>
      </c>
    </row>
    <row r="325" spans="1:9" x14ac:dyDescent="0.25">
      <c r="A325" s="277"/>
      <c r="B325" s="389" t="s">
        <v>229</v>
      </c>
      <c r="C325" s="279"/>
      <c r="D325" s="425"/>
      <c r="E325" s="278"/>
      <c r="F325" s="279"/>
      <c r="G325" s="280"/>
      <c r="H325" s="281"/>
      <c r="I325" s="460">
        <f>I324*0.15</f>
        <v>19305.728069999997</v>
      </c>
    </row>
    <row r="326" spans="1:9" x14ac:dyDescent="0.25">
      <c r="A326" s="277"/>
      <c r="B326" s="389" t="s">
        <v>222</v>
      </c>
      <c r="C326" s="279"/>
      <c r="D326" s="426"/>
      <c r="E326" s="278"/>
      <c r="F326" s="279"/>
      <c r="G326" s="262"/>
      <c r="H326" s="281"/>
      <c r="I326" s="461">
        <f>I324+I325</f>
        <v>148010.58186999999</v>
      </c>
    </row>
    <row r="327" spans="1:9" x14ac:dyDescent="0.25">
      <c r="A327" s="282"/>
      <c r="B327" s="390" t="s">
        <v>230</v>
      </c>
      <c r="C327" s="284"/>
      <c r="D327" s="427"/>
      <c r="E327" s="283"/>
      <c r="F327" s="284"/>
      <c r="G327" s="324"/>
      <c r="H327" s="325"/>
      <c r="I327" s="462">
        <f>ROUNDUP(I326,-2)</f>
        <v>148100</v>
      </c>
    </row>
    <row r="328" spans="1:9" x14ac:dyDescent="0.25">
      <c r="I328" s="463"/>
    </row>
    <row r="329" spans="1:9" x14ac:dyDescent="0.25">
      <c r="A329" s="258"/>
      <c r="B329" s="385" t="s">
        <v>1194</v>
      </c>
      <c r="C329" s="261"/>
      <c r="D329" s="422"/>
      <c r="E329" s="265"/>
      <c r="F329" s="261"/>
      <c r="G329" s="262"/>
      <c r="H329" s="263"/>
      <c r="I329" s="457"/>
    </row>
    <row r="330" spans="1:9" ht="26.25" x14ac:dyDescent="0.25">
      <c r="A330" s="258">
        <v>25</v>
      </c>
      <c r="B330" s="385" t="s">
        <v>1200</v>
      </c>
      <c r="C330" s="261"/>
      <c r="D330" s="422">
        <v>1</v>
      </c>
      <c r="E330" s="265" t="s">
        <v>14</v>
      </c>
      <c r="F330" s="261"/>
      <c r="G330" s="262"/>
      <c r="H330" s="263"/>
      <c r="I330" s="457"/>
    </row>
    <row r="331" spans="1:9" x14ac:dyDescent="0.25">
      <c r="A331" s="258" t="s">
        <v>231</v>
      </c>
      <c r="B331" s="408" t="s">
        <v>1196</v>
      </c>
      <c r="C331" s="261"/>
      <c r="D331" s="448">
        <v>0.128</v>
      </c>
      <c r="E331" s="345" t="s">
        <v>1185</v>
      </c>
      <c r="F331" s="261">
        <f>HSM!E88</f>
        <v>69000</v>
      </c>
      <c r="G331" s="263">
        <f>D331*F331</f>
        <v>8832</v>
      </c>
      <c r="I331" s="457"/>
    </row>
    <row r="332" spans="1:9" x14ac:dyDescent="0.25">
      <c r="A332" s="258"/>
      <c r="B332" s="408" t="s">
        <v>1183</v>
      </c>
      <c r="C332" s="261"/>
      <c r="D332" s="448">
        <v>8.9999999999999993E-3</v>
      </c>
      <c r="E332" s="345" t="s">
        <v>20</v>
      </c>
      <c r="F332" s="261">
        <f>HSM!E76</f>
        <v>3857142.6</v>
      </c>
      <c r="G332" s="263">
        <f>D332*F332</f>
        <v>34714.2834</v>
      </c>
      <c r="I332" s="457"/>
    </row>
    <row r="333" spans="1:9" x14ac:dyDescent="0.25">
      <c r="A333" s="258"/>
      <c r="B333" s="408" t="s">
        <v>1178</v>
      </c>
      <c r="C333" s="261"/>
      <c r="D333" s="448">
        <v>0.25</v>
      </c>
      <c r="E333" s="345" t="s">
        <v>233</v>
      </c>
      <c r="F333" s="261">
        <f>HSM!E170</f>
        <v>24000</v>
      </c>
      <c r="G333" s="263">
        <f>D333*F333</f>
        <v>6000</v>
      </c>
      <c r="I333" s="457"/>
    </row>
    <row r="334" spans="1:9" x14ac:dyDescent="0.25">
      <c r="A334" s="258"/>
      <c r="B334" s="408" t="s">
        <v>1184</v>
      </c>
      <c r="C334" s="261"/>
      <c r="D334" s="448">
        <v>0.2</v>
      </c>
      <c r="E334" s="345" t="s">
        <v>1175</v>
      </c>
      <c r="F334" s="261">
        <f>HSM!E607</f>
        <v>7000</v>
      </c>
      <c r="G334" s="263">
        <f>D334*F334</f>
        <v>1400</v>
      </c>
      <c r="I334" s="457"/>
    </row>
    <row r="335" spans="1:9" x14ac:dyDescent="0.25">
      <c r="A335" s="258"/>
      <c r="B335" s="408" t="s">
        <v>217</v>
      </c>
      <c r="C335" s="261"/>
      <c r="D335" s="448">
        <v>0.2</v>
      </c>
      <c r="E335" s="345" t="s">
        <v>228</v>
      </c>
      <c r="F335" s="261">
        <f>VLOOKUP($B335,HSU!$B$6:$D$38,3,FALSE)</f>
        <v>70000</v>
      </c>
      <c r="G335" s="262">
        <f>D335*F335</f>
        <v>14000</v>
      </c>
      <c r="H335" s="263"/>
      <c r="I335" s="457"/>
    </row>
    <row r="336" spans="1:9" x14ac:dyDescent="0.25">
      <c r="A336" s="258"/>
      <c r="B336" s="408" t="s">
        <v>1177</v>
      </c>
      <c r="C336" s="261"/>
      <c r="D336" s="448">
        <v>0.1</v>
      </c>
      <c r="E336" s="345" t="s">
        <v>228</v>
      </c>
      <c r="F336" s="261">
        <f>VLOOKUP($B336,HSU!$B$6:$D$38,3,FALSE)</f>
        <v>80000</v>
      </c>
      <c r="G336" s="262">
        <f>D336*F336</f>
        <v>8000</v>
      </c>
      <c r="H336" s="263"/>
      <c r="I336" s="457"/>
    </row>
    <row r="337" spans="1:9" x14ac:dyDescent="0.25">
      <c r="A337" s="258"/>
      <c r="B337" s="408" t="s">
        <v>1114</v>
      </c>
      <c r="C337" s="261"/>
      <c r="D337" s="448">
        <v>0.01</v>
      </c>
      <c r="E337" s="345" t="s">
        <v>228</v>
      </c>
      <c r="F337" s="261">
        <f>VLOOKUP($B337,HSU!$B$6:$D$38,3,FALSE)</f>
        <v>90000</v>
      </c>
      <c r="G337" s="262">
        <f>D337*F337</f>
        <v>900</v>
      </c>
      <c r="H337" s="263"/>
      <c r="I337" s="457"/>
    </row>
    <row r="338" spans="1:9" x14ac:dyDescent="0.25">
      <c r="A338" s="258"/>
      <c r="B338" s="408" t="s">
        <v>220</v>
      </c>
      <c r="C338" s="261"/>
      <c r="D338" s="448">
        <v>0.02</v>
      </c>
      <c r="E338" s="345" t="s">
        <v>228</v>
      </c>
      <c r="F338" s="261">
        <f>VLOOKUP($B338,HSU!$B$6:$D$38,3,FALSE)</f>
        <v>85000</v>
      </c>
      <c r="G338" s="262">
        <f>D338*F338</f>
        <v>1700</v>
      </c>
      <c r="H338" s="263"/>
      <c r="I338" s="457"/>
    </row>
    <row r="339" spans="1:9" x14ac:dyDescent="0.25">
      <c r="A339" s="272"/>
      <c r="B339" s="388" t="s">
        <v>222</v>
      </c>
      <c r="C339" s="274"/>
      <c r="D339" s="424"/>
      <c r="E339" s="273"/>
      <c r="F339" s="274"/>
      <c r="G339" s="275">
        <f>SUM(G331:G338)</f>
        <v>75546.2834</v>
      </c>
      <c r="H339" s="275"/>
      <c r="I339" s="459">
        <f>G339+H339</f>
        <v>75546.2834</v>
      </c>
    </row>
    <row r="340" spans="1:9" x14ac:dyDescent="0.25">
      <c r="A340" s="277"/>
      <c r="B340" s="389" t="s">
        <v>229</v>
      </c>
      <c r="C340" s="279"/>
      <c r="D340" s="425"/>
      <c r="E340" s="278"/>
      <c r="F340" s="279"/>
      <c r="G340" s="280"/>
      <c r="H340" s="281"/>
      <c r="I340" s="460">
        <f>I339*0.15</f>
        <v>11331.942509999999</v>
      </c>
    </row>
    <row r="341" spans="1:9" x14ac:dyDescent="0.25">
      <c r="A341" s="277"/>
      <c r="B341" s="389" t="s">
        <v>222</v>
      </c>
      <c r="C341" s="279"/>
      <c r="D341" s="426"/>
      <c r="E341" s="278"/>
      <c r="F341" s="279"/>
      <c r="G341" s="262"/>
      <c r="H341" s="281"/>
      <c r="I341" s="461">
        <f>I339+I340</f>
        <v>86878.225909999994</v>
      </c>
    </row>
    <row r="342" spans="1:9" x14ac:dyDescent="0.25">
      <c r="A342" s="282"/>
      <c r="B342" s="390" t="s">
        <v>230</v>
      </c>
      <c r="C342" s="284"/>
      <c r="D342" s="427"/>
      <c r="E342" s="283"/>
      <c r="F342" s="284"/>
      <c r="G342" s="324"/>
      <c r="H342" s="325"/>
      <c r="I342" s="462">
        <f>ROUNDUP(I341,-2)</f>
        <v>86900</v>
      </c>
    </row>
    <row r="343" spans="1:9" x14ac:dyDescent="0.25">
      <c r="I343" s="463"/>
    </row>
    <row r="344" spans="1:9" x14ac:dyDescent="0.25">
      <c r="A344" s="258"/>
      <c r="B344" s="385" t="s">
        <v>1201</v>
      </c>
      <c r="C344" s="261"/>
      <c r="D344" s="422"/>
      <c r="E344" s="265"/>
      <c r="F344" s="261"/>
      <c r="G344" s="262"/>
      <c r="H344" s="263"/>
      <c r="I344" s="457"/>
    </row>
    <row r="345" spans="1:9" ht="26.25" x14ac:dyDescent="0.25">
      <c r="A345" s="258">
        <v>26</v>
      </c>
      <c r="B345" s="385" t="s">
        <v>1202</v>
      </c>
      <c r="C345" s="261"/>
      <c r="D345" s="422">
        <v>1</v>
      </c>
      <c r="E345" s="265" t="s">
        <v>14</v>
      </c>
      <c r="F345" s="261"/>
      <c r="G345" s="262"/>
      <c r="H345" s="263"/>
      <c r="I345" s="457"/>
    </row>
    <row r="346" spans="1:9" x14ac:dyDescent="0.25">
      <c r="A346" s="258" t="s">
        <v>231</v>
      </c>
      <c r="B346" s="408" t="s">
        <v>1196</v>
      </c>
      <c r="C346" s="261"/>
      <c r="D346" s="448">
        <v>0.128</v>
      </c>
      <c r="E346" s="345" t="s">
        <v>1185</v>
      </c>
      <c r="F346" s="261">
        <f>F331</f>
        <v>69000</v>
      </c>
      <c r="G346" s="263">
        <f>D346*F346</f>
        <v>8832</v>
      </c>
      <c r="I346" s="457"/>
    </row>
    <row r="347" spans="1:9" x14ac:dyDescent="0.25">
      <c r="A347" s="258"/>
      <c r="B347" s="408" t="s">
        <v>1183</v>
      </c>
      <c r="C347" s="261"/>
      <c r="D347" s="448">
        <v>1.2999999999999999E-2</v>
      </c>
      <c r="E347" s="345" t="s">
        <v>20</v>
      </c>
      <c r="F347" s="261">
        <f t="shared" ref="F347:F349" si="0">F332</f>
        <v>3857142.6</v>
      </c>
      <c r="G347" s="263">
        <f>D347*F347</f>
        <v>50142.853799999997</v>
      </c>
      <c r="I347" s="457"/>
    </row>
    <row r="348" spans="1:9" x14ac:dyDescent="0.25">
      <c r="A348" s="258"/>
      <c r="B348" s="408" t="s">
        <v>1178</v>
      </c>
      <c r="C348" s="261"/>
      <c r="D348" s="448">
        <v>0.32</v>
      </c>
      <c r="E348" s="345" t="s">
        <v>233</v>
      </c>
      <c r="F348" s="261">
        <f t="shared" si="0"/>
        <v>24000</v>
      </c>
      <c r="G348" s="263">
        <f>D348*F348</f>
        <v>7680</v>
      </c>
      <c r="I348" s="457"/>
    </row>
    <row r="349" spans="1:9" x14ac:dyDescent="0.25">
      <c r="A349" s="258"/>
      <c r="B349" s="408" t="s">
        <v>1184</v>
      </c>
      <c r="C349" s="261"/>
      <c r="D349" s="448">
        <v>0.25</v>
      </c>
      <c r="E349" s="345" t="s">
        <v>1175</v>
      </c>
      <c r="F349" s="261">
        <f t="shared" si="0"/>
        <v>7000</v>
      </c>
      <c r="G349" s="263">
        <f>D349*F349</f>
        <v>1750</v>
      </c>
      <c r="I349" s="457"/>
    </row>
    <row r="350" spans="1:9" x14ac:dyDescent="0.25">
      <c r="A350" s="258"/>
      <c r="B350" s="408" t="s">
        <v>217</v>
      </c>
      <c r="C350" s="261"/>
      <c r="D350" s="448">
        <v>0.36</v>
      </c>
      <c r="E350" s="345" t="s">
        <v>228</v>
      </c>
      <c r="F350" s="261">
        <f>VLOOKUP($B350,HSU!$B$6:$D$38,3,FALSE)</f>
        <v>70000</v>
      </c>
      <c r="G350" s="262">
        <f>D350*F350</f>
        <v>25200</v>
      </c>
      <c r="H350" s="263"/>
      <c r="I350" s="457"/>
    </row>
    <row r="351" spans="1:9" x14ac:dyDescent="0.25">
      <c r="A351" s="258"/>
      <c r="B351" s="408" t="s">
        <v>1177</v>
      </c>
      <c r="C351" s="261"/>
      <c r="D351" s="448">
        <v>0.36</v>
      </c>
      <c r="E351" s="345" t="s">
        <v>228</v>
      </c>
      <c r="F351" s="261">
        <f>VLOOKUP($B351,HSU!$B$6:$D$38,3,FALSE)</f>
        <v>80000</v>
      </c>
      <c r="G351" s="262">
        <f>D351*F351</f>
        <v>28800</v>
      </c>
      <c r="H351" s="263"/>
      <c r="I351" s="457"/>
    </row>
    <row r="352" spans="1:9" x14ac:dyDescent="0.25">
      <c r="A352" s="258"/>
      <c r="B352" s="408" t="s">
        <v>1114</v>
      </c>
      <c r="C352" s="261"/>
      <c r="D352" s="448">
        <v>3.5999999999999997E-2</v>
      </c>
      <c r="E352" s="345" t="s">
        <v>228</v>
      </c>
      <c r="F352" s="261">
        <f>VLOOKUP($B352,HSU!$B$6:$D$38,3,FALSE)</f>
        <v>90000</v>
      </c>
      <c r="G352" s="262">
        <f>D352*F352</f>
        <v>3239.9999999999995</v>
      </c>
      <c r="H352" s="263"/>
      <c r="I352" s="457"/>
    </row>
    <row r="353" spans="1:9" x14ac:dyDescent="0.25">
      <c r="A353" s="258"/>
      <c r="B353" s="408" t="s">
        <v>220</v>
      </c>
      <c r="C353" s="261"/>
      <c r="D353" s="448">
        <v>3.5999999999999997E-2</v>
      </c>
      <c r="E353" s="345" t="s">
        <v>228</v>
      </c>
      <c r="F353" s="261">
        <f>VLOOKUP($B353,HSU!$B$6:$D$38,3,FALSE)</f>
        <v>85000</v>
      </c>
      <c r="G353" s="262">
        <f>D353*F353</f>
        <v>3059.9999999999995</v>
      </c>
      <c r="H353" s="263"/>
      <c r="I353" s="457"/>
    </row>
    <row r="354" spans="1:9" x14ac:dyDescent="0.25">
      <c r="A354" s="272"/>
      <c r="B354" s="388" t="s">
        <v>222</v>
      </c>
      <c r="C354" s="274"/>
      <c r="D354" s="424"/>
      <c r="E354" s="273"/>
      <c r="F354" s="274"/>
      <c r="G354" s="275">
        <f>SUM(G346:G353)</f>
        <v>128704.8538</v>
      </c>
      <c r="H354" s="275"/>
      <c r="I354" s="459">
        <f>G354+H354</f>
        <v>128704.8538</v>
      </c>
    </row>
    <row r="355" spans="1:9" x14ac:dyDescent="0.25">
      <c r="A355" s="277"/>
      <c r="B355" s="389" t="s">
        <v>229</v>
      </c>
      <c r="C355" s="279"/>
      <c r="D355" s="425"/>
      <c r="E355" s="278"/>
      <c r="F355" s="279"/>
      <c r="G355" s="280"/>
      <c r="H355" s="281"/>
      <c r="I355" s="460">
        <f>I354*0.15</f>
        <v>19305.728069999997</v>
      </c>
    </row>
    <row r="356" spans="1:9" x14ac:dyDescent="0.25">
      <c r="A356" s="277"/>
      <c r="B356" s="389" t="s">
        <v>222</v>
      </c>
      <c r="C356" s="279"/>
      <c r="D356" s="426"/>
      <c r="E356" s="278"/>
      <c r="F356" s="279"/>
      <c r="G356" s="262"/>
      <c r="H356" s="281"/>
      <c r="I356" s="461">
        <f>I354+I355</f>
        <v>148010.58186999999</v>
      </c>
    </row>
    <row r="357" spans="1:9" x14ac:dyDescent="0.25">
      <c r="A357" s="282"/>
      <c r="B357" s="390" t="s">
        <v>230</v>
      </c>
      <c r="C357" s="284"/>
      <c r="D357" s="427"/>
      <c r="E357" s="283"/>
      <c r="F357" s="284"/>
      <c r="G357" s="324"/>
      <c r="H357" s="325"/>
      <c r="I357" s="462">
        <f>ROUNDUP(I356,-2)</f>
        <v>148100</v>
      </c>
    </row>
    <row r="358" spans="1:9" x14ac:dyDescent="0.25">
      <c r="A358" s="268"/>
      <c r="B358" s="397"/>
      <c r="C358" s="328"/>
      <c r="D358" s="440"/>
      <c r="E358" s="269"/>
      <c r="F358" s="328"/>
      <c r="G358" s="329"/>
      <c r="H358" s="271"/>
      <c r="I358" s="474"/>
    </row>
    <row r="359" spans="1:9" x14ac:dyDescent="0.25">
      <c r="A359" s="258"/>
      <c r="B359" s="385" t="s">
        <v>1203</v>
      </c>
      <c r="C359" s="261"/>
      <c r="D359" s="422"/>
      <c r="E359" s="265"/>
      <c r="F359" s="261"/>
      <c r="G359" s="262"/>
      <c r="H359" s="263"/>
      <c r="I359" s="457"/>
    </row>
    <row r="360" spans="1:9" ht="26.25" x14ac:dyDescent="0.25">
      <c r="A360" s="258"/>
      <c r="B360" s="385" t="s">
        <v>1204</v>
      </c>
      <c r="C360" s="261"/>
      <c r="D360" s="422"/>
      <c r="E360" s="265"/>
      <c r="F360" s="261"/>
      <c r="G360" s="262"/>
      <c r="H360" s="263"/>
      <c r="I360" s="457"/>
    </row>
    <row r="361" spans="1:9" ht="26.25" x14ac:dyDescent="0.25">
      <c r="A361" s="258">
        <v>26</v>
      </c>
      <c r="B361" s="385" t="s">
        <v>1202</v>
      </c>
      <c r="C361" s="261"/>
      <c r="D361" s="422">
        <v>1</v>
      </c>
      <c r="E361" s="265" t="s">
        <v>14</v>
      </c>
      <c r="F361" s="261"/>
      <c r="G361" s="262"/>
      <c r="H361" s="263"/>
      <c r="I361" s="457"/>
    </row>
    <row r="362" spans="1:9" x14ac:dyDescent="0.25">
      <c r="A362" s="258" t="s">
        <v>231</v>
      </c>
      <c r="B362" s="408" t="s">
        <v>1196</v>
      </c>
      <c r="C362" s="261"/>
      <c r="D362" s="448">
        <v>0.128</v>
      </c>
      <c r="E362" s="345" t="s">
        <v>1185</v>
      </c>
      <c r="F362" s="261">
        <f>F346</f>
        <v>69000</v>
      </c>
      <c r="G362" s="263">
        <f>D362*F362</f>
        <v>8832</v>
      </c>
      <c r="I362" s="457"/>
    </row>
    <row r="363" spans="1:9" x14ac:dyDescent="0.25">
      <c r="A363" s="258"/>
      <c r="B363" s="408" t="s">
        <v>1183</v>
      </c>
      <c r="C363" s="261"/>
      <c r="D363" s="448">
        <v>6.0000000000000001E-3</v>
      </c>
      <c r="E363" s="345" t="s">
        <v>20</v>
      </c>
      <c r="F363" s="261">
        <f t="shared" ref="F363:F365" si="1">F347</f>
        <v>3857142.6</v>
      </c>
      <c r="G363" s="263">
        <f>D363*F363</f>
        <v>23142.855600000003</v>
      </c>
      <c r="I363" s="457"/>
    </row>
    <row r="364" spans="1:9" x14ac:dyDescent="0.25">
      <c r="A364" s="258"/>
      <c r="B364" s="408" t="s">
        <v>1178</v>
      </c>
      <c r="C364" s="261"/>
      <c r="D364" s="448">
        <v>0.28000000000000003</v>
      </c>
      <c r="E364" s="345" t="s">
        <v>233</v>
      </c>
      <c r="F364" s="261">
        <f t="shared" si="1"/>
        <v>24000</v>
      </c>
      <c r="G364" s="263">
        <f>D364*F364</f>
        <v>6720.0000000000009</v>
      </c>
      <c r="I364" s="457"/>
    </row>
    <row r="365" spans="1:9" x14ac:dyDescent="0.25">
      <c r="A365" s="258"/>
      <c r="B365" s="408" t="s">
        <v>1184</v>
      </c>
      <c r="C365" s="261"/>
      <c r="D365" s="448">
        <v>0.25</v>
      </c>
      <c r="E365" s="345" t="s">
        <v>1175</v>
      </c>
      <c r="F365" s="261">
        <f t="shared" si="1"/>
        <v>7000</v>
      </c>
      <c r="G365" s="263">
        <f>D365*F365</f>
        <v>1750</v>
      </c>
      <c r="I365" s="457"/>
    </row>
    <row r="366" spans="1:9" x14ac:dyDescent="0.25">
      <c r="A366" s="258"/>
      <c r="B366" s="408" t="s">
        <v>217</v>
      </c>
      <c r="C366" s="261"/>
      <c r="D366" s="448">
        <v>0.3</v>
      </c>
      <c r="E366" s="345" t="s">
        <v>228</v>
      </c>
      <c r="F366" s="261">
        <f>VLOOKUP($B366,HSU!$B$6:$D$38,3,FALSE)</f>
        <v>70000</v>
      </c>
      <c r="G366" s="262">
        <f>D366*F366</f>
        <v>21000</v>
      </c>
      <c r="H366" s="263"/>
      <c r="I366" s="457"/>
    </row>
    <row r="367" spans="1:9" x14ac:dyDescent="0.25">
      <c r="A367" s="258"/>
      <c r="B367" s="408" t="s">
        <v>1177</v>
      </c>
      <c r="C367" s="261"/>
      <c r="D367" s="448">
        <v>0.3</v>
      </c>
      <c r="E367" s="345" t="s">
        <v>228</v>
      </c>
      <c r="F367" s="261">
        <f>VLOOKUP($B367,HSU!$B$6:$D$38,3,FALSE)</f>
        <v>80000</v>
      </c>
      <c r="G367" s="262">
        <f>D367*F367</f>
        <v>24000</v>
      </c>
      <c r="H367" s="263"/>
      <c r="I367" s="457"/>
    </row>
    <row r="368" spans="1:9" x14ac:dyDescent="0.25">
      <c r="A368" s="258"/>
      <c r="B368" s="408" t="s">
        <v>1114</v>
      </c>
      <c r="C368" s="261"/>
      <c r="D368" s="448">
        <v>0.03</v>
      </c>
      <c r="E368" s="345" t="s">
        <v>228</v>
      </c>
      <c r="F368" s="261">
        <f>VLOOKUP($B368,HSU!$B$6:$D$38,3,FALSE)</f>
        <v>90000</v>
      </c>
      <c r="G368" s="262">
        <f>D368*F368</f>
        <v>2700</v>
      </c>
      <c r="H368" s="263"/>
      <c r="I368" s="457"/>
    </row>
    <row r="369" spans="1:9" x14ac:dyDescent="0.25">
      <c r="A369" s="258"/>
      <c r="B369" s="408" t="s">
        <v>220</v>
      </c>
      <c r="C369" s="261"/>
      <c r="D369" s="448">
        <v>0.03</v>
      </c>
      <c r="E369" s="345" t="s">
        <v>228</v>
      </c>
      <c r="F369" s="261">
        <f>VLOOKUP($B369,HSU!$B$6:$D$38,3,FALSE)</f>
        <v>85000</v>
      </c>
      <c r="G369" s="262">
        <f>D369*F369</f>
        <v>2550</v>
      </c>
      <c r="H369" s="263"/>
      <c r="I369" s="457"/>
    </row>
    <row r="370" spans="1:9" x14ac:dyDescent="0.25">
      <c r="A370" s="272"/>
      <c r="B370" s="388" t="s">
        <v>222</v>
      </c>
      <c r="C370" s="274"/>
      <c r="D370" s="424"/>
      <c r="E370" s="273"/>
      <c r="F370" s="274"/>
      <c r="G370" s="275">
        <f>SUM(G362:G369)</f>
        <v>90694.85560000001</v>
      </c>
      <c r="H370" s="275"/>
      <c r="I370" s="459">
        <f>G370+H370</f>
        <v>90694.85560000001</v>
      </c>
    </row>
    <row r="371" spans="1:9" x14ac:dyDescent="0.25">
      <c r="A371" s="277"/>
      <c r="B371" s="389" t="s">
        <v>229</v>
      </c>
      <c r="C371" s="279"/>
      <c r="D371" s="425"/>
      <c r="E371" s="278"/>
      <c r="F371" s="279"/>
      <c r="G371" s="280"/>
      <c r="H371" s="281"/>
      <c r="I371" s="460">
        <f>I370*0.15</f>
        <v>13604.228340000001</v>
      </c>
    </row>
    <row r="372" spans="1:9" x14ac:dyDescent="0.25">
      <c r="A372" s="277"/>
      <c r="B372" s="389" t="s">
        <v>222</v>
      </c>
      <c r="C372" s="279"/>
      <c r="D372" s="426"/>
      <c r="E372" s="278"/>
      <c r="F372" s="279"/>
      <c r="G372" s="262"/>
      <c r="H372" s="281"/>
      <c r="I372" s="461">
        <f>I370+I371</f>
        <v>104299.08394000001</v>
      </c>
    </row>
    <row r="373" spans="1:9" x14ac:dyDescent="0.25">
      <c r="A373" s="282"/>
      <c r="B373" s="390" t="s">
        <v>230</v>
      </c>
      <c r="C373" s="284"/>
      <c r="D373" s="427"/>
      <c r="E373" s="283"/>
      <c r="F373" s="284"/>
      <c r="G373" s="324"/>
      <c r="H373" s="325"/>
      <c r="I373" s="462">
        <f>ROUNDUP(I372,-2)</f>
        <v>104300</v>
      </c>
    </row>
    <row r="374" spans="1:9" x14ac:dyDescent="0.25">
      <c r="A374" s="268"/>
      <c r="B374" s="397"/>
      <c r="C374" s="328"/>
      <c r="D374" s="440"/>
      <c r="E374" s="269"/>
      <c r="F374" s="328"/>
      <c r="G374" s="329"/>
      <c r="H374" s="271"/>
      <c r="I374" s="474"/>
    </row>
    <row r="375" spans="1:9" x14ac:dyDescent="0.25">
      <c r="A375" s="258"/>
      <c r="B375" s="385" t="s">
        <v>1205</v>
      </c>
      <c r="C375" s="261"/>
      <c r="D375" s="422"/>
      <c r="E375" s="265"/>
      <c r="F375" s="261"/>
      <c r="G375" s="262"/>
      <c r="H375" s="263"/>
      <c r="I375" s="457"/>
    </row>
    <row r="376" spans="1:9" ht="39" x14ac:dyDescent="0.25">
      <c r="A376" s="258">
        <v>27</v>
      </c>
      <c r="B376" s="385" t="s">
        <v>1206</v>
      </c>
      <c r="C376" s="261"/>
      <c r="D376" s="422">
        <v>1</v>
      </c>
      <c r="E376" s="265" t="s">
        <v>14</v>
      </c>
      <c r="F376" s="261"/>
      <c r="G376" s="262"/>
      <c r="H376" s="263"/>
      <c r="I376" s="457"/>
    </row>
    <row r="377" spans="1:9" x14ac:dyDescent="0.25">
      <c r="A377" s="258" t="s">
        <v>231</v>
      </c>
      <c r="B377" s="408" t="s">
        <v>217</v>
      </c>
      <c r="C377" s="261"/>
      <c r="D377" s="448">
        <v>0.04</v>
      </c>
      <c r="E377" s="345" t="s">
        <v>228</v>
      </c>
      <c r="F377" s="261">
        <f>VLOOKUP($B377,HSU!$B$6:$D$38,3,FALSE)</f>
        <v>70000</v>
      </c>
      <c r="G377" s="262">
        <f>D377*F377</f>
        <v>2800</v>
      </c>
      <c r="H377" s="263"/>
      <c r="I377" s="457"/>
    </row>
    <row r="378" spans="1:9" x14ac:dyDescent="0.25">
      <c r="A378" s="258"/>
      <c r="B378" s="408" t="s">
        <v>220</v>
      </c>
      <c r="C378" s="261"/>
      <c r="D378" s="448">
        <v>4.0000000000000001E-3</v>
      </c>
      <c r="E378" s="345" t="s">
        <v>228</v>
      </c>
      <c r="F378" s="261">
        <f>VLOOKUP($B378,HSU!$B$6:$D$38,3,FALSE)</f>
        <v>85000</v>
      </c>
      <c r="G378" s="262">
        <f>D378*F378</f>
        <v>340</v>
      </c>
      <c r="H378" s="263"/>
      <c r="I378" s="457"/>
    </row>
    <row r="379" spans="1:9" x14ac:dyDescent="0.25">
      <c r="A379" s="258"/>
      <c r="B379" s="388" t="s">
        <v>222</v>
      </c>
      <c r="C379" s="274"/>
      <c r="D379" s="424"/>
      <c r="E379" s="273"/>
      <c r="F379" s="274"/>
      <c r="G379" s="275">
        <f>SUM(G377:G378)</f>
        <v>3140</v>
      </c>
      <c r="H379" s="275"/>
      <c r="I379" s="459">
        <f>G379+H379</f>
        <v>3140</v>
      </c>
    </row>
    <row r="380" spans="1:9" x14ac:dyDescent="0.25">
      <c r="A380" s="258"/>
      <c r="B380" s="389" t="s">
        <v>229</v>
      </c>
      <c r="C380" s="279"/>
      <c r="D380" s="425"/>
      <c r="E380" s="278"/>
      <c r="F380" s="279"/>
      <c r="G380" s="280"/>
      <c r="H380" s="281"/>
      <c r="I380" s="460">
        <f>I379*0.15</f>
        <v>471</v>
      </c>
    </row>
    <row r="381" spans="1:9" x14ac:dyDescent="0.25">
      <c r="A381" s="258"/>
      <c r="B381" s="389" t="s">
        <v>222</v>
      </c>
      <c r="C381" s="279"/>
      <c r="D381" s="426"/>
      <c r="E381" s="278"/>
      <c r="F381" s="279"/>
      <c r="G381" s="262"/>
      <c r="H381" s="281"/>
      <c r="I381" s="461">
        <f>I379+I380</f>
        <v>3611</v>
      </c>
    </row>
    <row r="382" spans="1:9" x14ac:dyDescent="0.25">
      <c r="A382" s="258"/>
      <c r="B382" s="390" t="s">
        <v>230</v>
      </c>
      <c r="C382" s="284"/>
      <c r="D382" s="427"/>
      <c r="E382" s="283"/>
      <c r="F382" s="284"/>
      <c r="G382" s="324"/>
      <c r="H382" s="325"/>
      <c r="I382" s="462">
        <f>ROUNDUP(I381,-2)</f>
        <v>3700</v>
      </c>
    </row>
    <row r="383" spans="1:9" x14ac:dyDescent="0.25">
      <c r="A383" s="258"/>
      <c r="B383" s="390"/>
      <c r="C383" s="284"/>
      <c r="D383" s="427"/>
      <c r="E383" s="283"/>
      <c r="F383" s="284"/>
      <c r="G383" s="324"/>
      <c r="H383" s="325"/>
      <c r="I383" s="462"/>
    </row>
    <row r="384" spans="1:9" x14ac:dyDescent="0.25">
      <c r="A384" s="258">
        <v>20</v>
      </c>
      <c r="B384" s="385" t="s">
        <v>1338</v>
      </c>
      <c r="C384" s="261"/>
      <c r="D384" s="422">
        <v>1</v>
      </c>
      <c r="E384" s="265" t="s">
        <v>16</v>
      </c>
      <c r="F384" s="261"/>
      <c r="G384" s="262"/>
      <c r="H384" s="263"/>
      <c r="I384" s="457"/>
    </row>
    <row r="385" spans="1:9" x14ac:dyDescent="0.25">
      <c r="A385" s="346" t="s">
        <v>1339</v>
      </c>
      <c r="B385" s="408"/>
      <c r="C385" s="261"/>
      <c r="D385" s="448"/>
      <c r="E385" s="345"/>
      <c r="F385" s="261"/>
      <c r="G385" s="262"/>
      <c r="H385" s="263"/>
      <c r="I385" s="457"/>
    </row>
    <row r="386" spans="1:9" x14ac:dyDescent="0.25">
      <c r="A386" s="258"/>
      <c r="B386" s="408" t="s">
        <v>234</v>
      </c>
      <c r="C386" s="261"/>
      <c r="D386" s="448">
        <v>0.02</v>
      </c>
      <c r="E386" s="345" t="s">
        <v>38</v>
      </c>
      <c r="F386" s="261">
        <v>13950</v>
      </c>
      <c r="G386" s="263">
        <f>D386*F386</f>
        <v>279</v>
      </c>
      <c r="I386" s="457"/>
    </row>
    <row r="387" spans="1:9" x14ac:dyDescent="0.25">
      <c r="A387" s="258"/>
      <c r="B387" s="408" t="s">
        <v>1340</v>
      </c>
      <c r="C387" s="261"/>
      <c r="D387" s="448">
        <v>7</v>
      </c>
      <c r="E387" s="345" t="s">
        <v>38</v>
      </c>
      <c r="F387" s="261">
        <v>9600</v>
      </c>
      <c r="G387" s="263">
        <f>D387*F387</f>
        <v>67200</v>
      </c>
      <c r="I387" s="457"/>
    </row>
    <row r="388" spans="1:9" x14ac:dyDescent="0.25">
      <c r="A388" s="258"/>
      <c r="B388" s="408" t="s">
        <v>1341</v>
      </c>
      <c r="C388" s="261"/>
      <c r="D388" s="448">
        <v>0.45</v>
      </c>
      <c r="E388" s="345" t="s">
        <v>38</v>
      </c>
      <c r="F388" s="261">
        <v>13050</v>
      </c>
      <c r="G388" s="263">
        <f>D388*F388</f>
        <v>5872.5</v>
      </c>
      <c r="I388" s="457"/>
    </row>
    <row r="389" spans="1:9" x14ac:dyDescent="0.25">
      <c r="A389" s="258"/>
      <c r="B389" s="408" t="s">
        <v>1342</v>
      </c>
      <c r="C389" s="261"/>
      <c r="D389" s="448">
        <v>6</v>
      </c>
      <c r="E389" s="345" t="s">
        <v>38</v>
      </c>
      <c r="F389" s="261">
        <v>1350</v>
      </c>
      <c r="G389" s="263">
        <f>D389*F389</f>
        <v>8100</v>
      </c>
      <c r="I389" s="457"/>
    </row>
    <row r="390" spans="1:9" x14ac:dyDescent="0.25">
      <c r="A390" s="258"/>
      <c r="B390" s="408" t="s">
        <v>1316</v>
      </c>
      <c r="C390" s="261"/>
      <c r="D390" s="448">
        <v>1.2E-2</v>
      </c>
      <c r="E390" s="345" t="s">
        <v>20</v>
      </c>
      <c r="F390" s="261">
        <v>274000</v>
      </c>
      <c r="G390" s="263">
        <f>D390*F390</f>
        <v>3288</v>
      </c>
      <c r="I390" s="457"/>
    </row>
    <row r="391" spans="1:9" x14ac:dyDescent="0.25">
      <c r="A391" s="258"/>
      <c r="B391" s="408" t="s">
        <v>1184</v>
      </c>
      <c r="C391" s="261"/>
      <c r="D391" s="421">
        <v>0.1</v>
      </c>
      <c r="E391" s="347" t="s">
        <v>1343</v>
      </c>
      <c r="F391" s="261">
        <v>14400</v>
      </c>
      <c r="G391" s="263">
        <f>D391*F391</f>
        <v>1440</v>
      </c>
      <c r="I391" s="457"/>
    </row>
    <row r="392" spans="1:9" x14ac:dyDescent="0.25">
      <c r="A392" s="258"/>
      <c r="B392" s="408" t="s">
        <v>1344</v>
      </c>
      <c r="C392" s="261"/>
      <c r="D392" s="448">
        <v>1.7999999999999999E-2</v>
      </c>
      <c r="E392" s="345" t="s">
        <v>20</v>
      </c>
      <c r="F392" s="261">
        <v>198000</v>
      </c>
      <c r="G392" s="263">
        <f>D392*F392</f>
        <v>3563.9999999999995</v>
      </c>
      <c r="I392" s="457"/>
    </row>
    <row r="393" spans="1:9" x14ac:dyDescent="0.25">
      <c r="A393" s="258"/>
      <c r="B393" s="408" t="s">
        <v>1345</v>
      </c>
      <c r="C393" s="261"/>
      <c r="D393" s="448">
        <v>0.01</v>
      </c>
      <c r="E393" s="345" t="s">
        <v>20</v>
      </c>
      <c r="F393" s="261">
        <v>211500</v>
      </c>
      <c r="G393" s="263">
        <f>D393*F393</f>
        <v>2115</v>
      </c>
      <c r="I393" s="457"/>
    </row>
    <row r="394" spans="1:9" x14ac:dyDescent="0.25">
      <c r="A394" s="258"/>
      <c r="B394" s="408" t="s">
        <v>1346</v>
      </c>
      <c r="C394" s="261"/>
      <c r="D394" s="448">
        <v>0.4</v>
      </c>
      <c r="E394" s="345" t="s">
        <v>1327</v>
      </c>
      <c r="F394" s="261">
        <v>198000</v>
      </c>
      <c r="G394" s="263">
        <f>D394*F394</f>
        <v>79200</v>
      </c>
      <c r="I394" s="457"/>
    </row>
    <row r="395" spans="1:9" x14ac:dyDescent="0.25">
      <c r="A395" s="258"/>
      <c r="B395" s="408" t="s">
        <v>1347</v>
      </c>
      <c r="C395" s="261"/>
      <c r="D395" s="448">
        <v>0.1</v>
      </c>
      <c r="E395" s="345" t="s">
        <v>1243</v>
      </c>
      <c r="F395" s="261">
        <v>198000</v>
      </c>
      <c r="G395" s="263">
        <f>D395*F395</f>
        <v>19800</v>
      </c>
      <c r="I395" s="457"/>
    </row>
    <row r="396" spans="1:9" x14ac:dyDescent="0.25">
      <c r="A396" s="258"/>
      <c r="B396" s="408" t="s">
        <v>217</v>
      </c>
      <c r="C396" s="261"/>
      <c r="D396" s="448">
        <v>0.29699999999999999</v>
      </c>
      <c r="E396" s="345" t="s">
        <v>228</v>
      </c>
      <c r="F396" s="261">
        <f>VLOOKUP($B396,HSU!$B$6:$D$38,3,FALSE)</f>
        <v>70000</v>
      </c>
      <c r="G396" s="262">
        <f>D396*F396</f>
        <v>20790</v>
      </c>
      <c r="H396" s="263"/>
      <c r="I396" s="457"/>
    </row>
    <row r="397" spans="1:9" x14ac:dyDescent="0.25">
      <c r="A397" s="258"/>
      <c r="B397" s="408" t="s">
        <v>218</v>
      </c>
      <c r="C397" s="261"/>
      <c r="D397" s="448">
        <v>3.3000000000000002E-2</v>
      </c>
      <c r="E397" s="345" t="s">
        <v>228</v>
      </c>
      <c r="F397" s="261">
        <f>VLOOKUP($B397,HSU!$B$6:$D$38,3,FALSE)</f>
        <v>80000</v>
      </c>
      <c r="G397" s="262">
        <f>D397*F397</f>
        <v>2640</v>
      </c>
      <c r="H397" s="263"/>
      <c r="I397" s="457"/>
    </row>
    <row r="398" spans="1:9" x14ac:dyDescent="0.25">
      <c r="A398" s="258"/>
      <c r="B398" s="408" t="s">
        <v>1348</v>
      </c>
      <c r="C398" s="261"/>
      <c r="D398" s="448">
        <v>3.3000000000000002E-2</v>
      </c>
      <c r="E398" s="345" t="s">
        <v>228</v>
      </c>
      <c r="F398" s="261">
        <f>VLOOKUP($B398,HSU!$B$6:$D$38,3,FALSE)</f>
        <v>80000</v>
      </c>
      <c r="G398" s="262">
        <f>D398*F398</f>
        <v>2640</v>
      </c>
      <c r="H398" s="263"/>
      <c r="I398" s="457"/>
    </row>
    <row r="399" spans="1:9" x14ac:dyDescent="0.25">
      <c r="A399" s="258"/>
      <c r="B399" s="408" t="s">
        <v>219</v>
      </c>
      <c r="C399" s="261"/>
      <c r="D399" s="448">
        <v>3.3000000000000002E-2</v>
      </c>
      <c r="E399" s="345" t="s">
        <v>228</v>
      </c>
      <c r="F399" s="261">
        <f>VLOOKUP($B399,HSU!$B$6:$D$38,3,FALSE)</f>
        <v>80000</v>
      </c>
      <c r="G399" s="262">
        <f>D399*F399</f>
        <v>2640</v>
      </c>
      <c r="H399" s="263"/>
      <c r="I399" s="457"/>
    </row>
    <row r="400" spans="1:9" x14ac:dyDescent="0.25">
      <c r="A400" s="258"/>
      <c r="B400" s="408" t="s">
        <v>1174</v>
      </c>
      <c r="C400" s="261"/>
      <c r="D400" s="448">
        <v>0.01</v>
      </c>
      <c r="E400" s="345" t="s">
        <v>228</v>
      </c>
      <c r="F400" s="261">
        <f>VLOOKUP($B400,HSU!$B$6:$D$38,3,FALSE)</f>
        <v>85000</v>
      </c>
      <c r="G400" s="262">
        <f>D400*F400</f>
        <v>850</v>
      </c>
      <c r="H400" s="263"/>
      <c r="I400" s="457"/>
    </row>
    <row r="401" spans="1:9" x14ac:dyDescent="0.25">
      <c r="A401" s="268"/>
      <c r="B401" s="409" t="s">
        <v>220</v>
      </c>
      <c r="C401" s="328"/>
      <c r="D401" s="423">
        <v>1.4999999999999999E-2</v>
      </c>
      <c r="E401" s="345" t="s">
        <v>228</v>
      </c>
      <c r="F401" s="261">
        <f>VLOOKUP($B401,HSU!$B$6:$D$38,3,FALSE)</f>
        <v>85000</v>
      </c>
      <c r="G401" s="262">
        <f>D401*F401</f>
        <v>1275</v>
      </c>
      <c r="H401" s="271"/>
      <c r="I401" s="458"/>
    </row>
    <row r="402" spans="1:9" x14ac:dyDescent="0.25">
      <c r="A402" s="272"/>
      <c r="B402" s="388" t="s">
        <v>222</v>
      </c>
      <c r="C402" s="274"/>
      <c r="D402" s="424"/>
      <c r="E402" s="273"/>
      <c r="F402" s="274"/>
      <c r="G402" s="275">
        <f>SUM(G386:G401)</f>
        <v>221693.5</v>
      </c>
      <c r="H402" s="275"/>
      <c r="I402" s="459">
        <f>G402+H402</f>
        <v>221693.5</v>
      </c>
    </row>
    <row r="403" spans="1:9" x14ac:dyDescent="0.25">
      <c r="A403" s="277"/>
      <c r="B403" s="389" t="s">
        <v>229</v>
      </c>
      <c r="C403" s="279"/>
      <c r="D403" s="425"/>
      <c r="E403" s="278"/>
      <c r="F403" s="279"/>
      <c r="G403" s="280"/>
      <c r="H403" s="281"/>
      <c r="I403" s="460">
        <f>I402*0.15</f>
        <v>33254.025000000001</v>
      </c>
    </row>
    <row r="404" spans="1:9" x14ac:dyDescent="0.25">
      <c r="A404" s="277"/>
      <c r="B404" s="389" t="s">
        <v>222</v>
      </c>
      <c r="C404" s="279"/>
      <c r="D404" s="426"/>
      <c r="E404" s="278"/>
      <c r="F404" s="279"/>
      <c r="G404" s="262"/>
      <c r="H404" s="281"/>
      <c r="I404" s="461">
        <f>I402+I403</f>
        <v>254947.52499999999</v>
      </c>
    </row>
    <row r="405" spans="1:9" x14ac:dyDescent="0.25">
      <c r="A405" s="282"/>
      <c r="B405" s="390" t="s">
        <v>230</v>
      </c>
      <c r="C405" s="284"/>
      <c r="D405" s="427"/>
      <c r="E405" s="283"/>
      <c r="F405" s="284"/>
      <c r="G405" s="324"/>
      <c r="H405" s="325"/>
      <c r="I405" s="462">
        <f>ROUNDUP(I404,-2)</f>
        <v>255000</v>
      </c>
    </row>
    <row r="406" spans="1:9" x14ac:dyDescent="0.25">
      <c r="A406" s="258"/>
      <c r="B406" s="390"/>
      <c r="C406" s="284"/>
      <c r="D406" s="427"/>
      <c r="E406" s="283"/>
      <c r="F406" s="284"/>
      <c r="G406" s="324"/>
      <c r="H406" s="325"/>
      <c r="I406" s="462"/>
    </row>
    <row r="407" spans="1:9" x14ac:dyDescent="0.25">
      <c r="A407" s="258">
        <v>20</v>
      </c>
      <c r="B407" s="385" t="s">
        <v>1349</v>
      </c>
      <c r="C407" s="261"/>
      <c r="D407" s="422">
        <v>1</v>
      </c>
      <c r="E407" s="265" t="s">
        <v>16</v>
      </c>
      <c r="F407" s="261"/>
      <c r="G407" s="262"/>
      <c r="H407" s="263"/>
      <c r="I407" s="457"/>
    </row>
    <row r="408" spans="1:9" x14ac:dyDescent="0.25">
      <c r="A408" s="346" t="s">
        <v>1339</v>
      </c>
      <c r="B408" s="408"/>
      <c r="C408" s="261"/>
      <c r="D408" s="448"/>
      <c r="E408" s="345"/>
      <c r="F408" s="261"/>
      <c r="G408" s="262"/>
      <c r="H408" s="263"/>
      <c r="I408" s="457"/>
    </row>
    <row r="409" spans="1:9" x14ac:dyDescent="0.25">
      <c r="A409" s="258"/>
      <c r="B409" s="408" t="s">
        <v>234</v>
      </c>
      <c r="C409" s="261"/>
      <c r="D409" s="448">
        <v>0.02</v>
      </c>
      <c r="E409" s="345" t="s">
        <v>38</v>
      </c>
      <c r="F409" s="261">
        <v>13950</v>
      </c>
      <c r="G409" s="263">
        <f>D409*F409</f>
        <v>279</v>
      </c>
      <c r="I409" s="457"/>
    </row>
    <row r="410" spans="1:9" x14ac:dyDescent="0.25">
      <c r="A410" s="258"/>
      <c r="B410" s="408" t="s">
        <v>1340</v>
      </c>
      <c r="C410" s="261"/>
      <c r="D410" s="448">
        <v>8.3000000000000007</v>
      </c>
      <c r="E410" s="345" t="s">
        <v>38</v>
      </c>
      <c r="F410" s="261">
        <v>9600</v>
      </c>
      <c r="G410" s="263">
        <f>D410*F410</f>
        <v>79680</v>
      </c>
      <c r="I410" s="457"/>
    </row>
    <row r="411" spans="1:9" x14ac:dyDescent="0.25">
      <c r="A411" s="258"/>
      <c r="B411" s="408" t="s">
        <v>1341</v>
      </c>
      <c r="C411" s="261"/>
      <c r="D411" s="448">
        <v>0.45</v>
      </c>
      <c r="E411" s="345" t="s">
        <v>38</v>
      </c>
      <c r="F411" s="261">
        <v>13050</v>
      </c>
      <c r="G411" s="263">
        <f>D411*F411</f>
        <v>5872.5</v>
      </c>
      <c r="I411" s="457"/>
    </row>
    <row r="412" spans="1:9" x14ac:dyDescent="0.25">
      <c r="A412" s="258"/>
      <c r="B412" s="408" t="s">
        <v>1342</v>
      </c>
      <c r="C412" s="261"/>
      <c r="D412" s="448">
        <v>6</v>
      </c>
      <c r="E412" s="345" t="s">
        <v>38</v>
      </c>
      <c r="F412" s="261">
        <v>1350</v>
      </c>
      <c r="G412" s="263">
        <f>D412*F412</f>
        <v>8100</v>
      </c>
      <c r="I412" s="457"/>
    </row>
    <row r="413" spans="1:9" x14ac:dyDescent="0.25">
      <c r="A413" s="258"/>
      <c r="B413" s="408" t="s">
        <v>1316</v>
      </c>
      <c r="C413" s="261"/>
      <c r="D413" s="448">
        <v>1.2E-2</v>
      </c>
      <c r="E413" s="345" t="s">
        <v>20</v>
      </c>
      <c r="F413" s="261">
        <v>274000</v>
      </c>
      <c r="G413" s="263">
        <f>D413*F413</f>
        <v>3288</v>
      </c>
      <c r="I413" s="457"/>
    </row>
    <row r="414" spans="1:9" x14ac:dyDescent="0.25">
      <c r="A414" s="258"/>
      <c r="B414" s="408" t="s">
        <v>1184</v>
      </c>
      <c r="C414" s="261"/>
      <c r="D414" s="421">
        <v>0.1</v>
      </c>
      <c r="E414" s="347" t="s">
        <v>1343</v>
      </c>
      <c r="F414" s="261">
        <v>14400</v>
      </c>
      <c r="G414" s="263">
        <f>D414*F414</f>
        <v>1440</v>
      </c>
      <c r="I414" s="457"/>
    </row>
    <row r="415" spans="1:9" x14ac:dyDescent="0.25">
      <c r="A415" s="258"/>
      <c r="B415" s="408" t="s">
        <v>1344</v>
      </c>
      <c r="C415" s="261"/>
      <c r="D415" s="448">
        <v>1.7999999999999999E-2</v>
      </c>
      <c r="E415" s="345" t="s">
        <v>20</v>
      </c>
      <c r="F415" s="261">
        <v>198000</v>
      </c>
      <c r="G415" s="263">
        <f>D415*F415</f>
        <v>3563.9999999999995</v>
      </c>
      <c r="I415" s="457"/>
    </row>
    <row r="416" spans="1:9" x14ac:dyDescent="0.25">
      <c r="A416" s="258"/>
      <c r="B416" s="408" t="s">
        <v>1345</v>
      </c>
      <c r="C416" s="261"/>
      <c r="D416" s="448">
        <v>0.01</v>
      </c>
      <c r="E416" s="345" t="s">
        <v>20</v>
      </c>
      <c r="F416" s="261">
        <v>211500</v>
      </c>
      <c r="G416" s="263">
        <f>D416*F416</f>
        <v>2115</v>
      </c>
      <c r="I416" s="457"/>
    </row>
    <row r="417" spans="1:9" x14ac:dyDescent="0.25">
      <c r="A417" s="258"/>
      <c r="B417" s="408" t="s">
        <v>1346</v>
      </c>
      <c r="C417" s="261"/>
      <c r="D417" s="448">
        <v>0.4</v>
      </c>
      <c r="E417" s="345" t="s">
        <v>1327</v>
      </c>
      <c r="F417" s="261">
        <v>198000</v>
      </c>
      <c r="G417" s="263">
        <f>D417*F417</f>
        <v>79200</v>
      </c>
      <c r="I417" s="457"/>
    </row>
    <row r="418" spans="1:9" x14ac:dyDescent="0.25">
      <c r="A418" s="258"/>
      <c r="B418" s="408" t="s">
        <v>1347</v>
      </c>
      <c r="C418" s="261"/>
      <c r="D418" s="448">
        <v>0.1</v>
      </c>
      <c r="E418" s="345" t="s">
        <v>1243</v>
      </c>
      <c r="F418" s="261">
        <v>198000</v>
      </c>
      <c r="G418" s="263">
        <f>D418*F418</f>
        <v>19800</v>
      </c>
      <c r="I418" s="457"/>
    </row>
    <row r="419" spans="1:9" x14ac:dyDescent="0.25">
      <c r="A419" s="258"/>
      <c r="B419" s="408" t="s">
        <v>217</v>
      </c>
      <c r="C419" s="261"/>
      <c r="D419" s="448">
        <v>0.29699999999999999</v>
      </c>
      <c r="E419" s="345" t="s">
        <v>228</v>
      </c>
      <c r="F419" s="261">
        <f>VLOOKUP($B419,HSU!$B$6:$D$38,3,FALSE)</f>
        <v>70000</v>
      </c>
      <c r="G419" s="262">
        <f>D419*F419</f>
        <v>20790</v>
      </c>
      <c r="H419" s="263"/>
      <c r="I419" s="457"/>
    </row>
    <row r="420" spans="1:9" x14ac:dyDescent="0.25">
      <c r="A420" s="258"/>
      <c r="B420" s="408" t="s">
        <v>218</v>
      </c>
      <c r="C420" s="261"/>
      <c r="D420" s="448">
        <v>3.3000000000000002E-2</v>
      </c>
      <c r="E420" s="345" t="s">
        <v>228</v>
      </c>
      <c r="F420" s="261">
        <f>VLOOKUP($B420,HSU!$B$6:$D$38,3,FALSE)</f>
        <v>80000</v>
      </c>
      <c r="G420" s="262">
        <f>D420*F420</f>
        <v>2640</v>
      </c>
      <c r="H420" s="263"/>
      <c r="I420" s="457"/>
    </row>
    <row r="421" spans="1:9" x14ac:dyDescent="0.25">
      <c r="A421" s="258"/>
      <c r="B421" s="408" t="s">
        <v>1348</v>
      </c>
      <c r="C421" s="261"/>
      <c r="D421" s="448">
        <v>3.3000000000000002E-2</v>
      </c>
      <c r="E421" s="345" t="s">
        <v>228</v>
      </c>
      <c r="F421" s="261">
        <f>VLOOKUP($B421,HSU!$B$6:$D$38,3,FALSE)</f>
        <v>80000</v>
      </c>
      <c r="G421" s="262">
        <f>D421*F421</f>
        <v>2640</v>
      </c>
      <c r="H421" s="263"/>
      <c r="I421" s="457"/>
    </row>
    <row r="422" spans="1:9" x14ac:dyDescent="0.25">
      <c r="A422" s="258"/>
      <c r="B422" s="408" t="s">
        <v>219</v>
      </c>
      <c r="C422" s="261"/>
      <c r="D422" s="448">
        <v>3.3000000000000002E-2</v>
      </c>
      <c r="E422" s="345" t="s">
        <v>228</v>
      </c>
      <c r="F422" s="261">
        <f>VLOOKUP($B422,HSU!$B$6:$D$38,3,FALSE)</f>
        <v>80000</v>
      </c>
      <c r="G422" s="262">
        <f>D422*F422</f>
        <v>2640</v>
      </c>
      <c r="H422" s="263"/>
      <c r="I422" s="457"/>
    </row>
    <row r="423" spans="1:9" x14ac:dyDescent="0.25">
      <c r="A423" s="258"/>
      <c r="B423" s="408" t="s">
        <v>1174</v>
      </c>
      <c r="C423" s="261"/>
      <c r="D423" s="448">
        <v>0.01</v>
      </c>
      <c r="E423" s="345" t="s">
        <v>228</v>
      </c>
      <c r="F423" s="261">
        <f>VLOOKUP($B423,HSU!$B$6:$D$38,3,FALSE)</f>
        <v>85000</v>
      </c>
      <c r="G423" s="262">
        <f>D423*F423</f>
        <v>850</v>
      </c>
      <c r="H423" s="263"/>
      <c r="I423" s="457"/>
    </row>
    <row r="424" spans="1:9" x14ac:dyDescent="0.25">
      <c r="A424" s="268"/>
      <c r="B424" s="409" t="s">
        <v>220</v>
      </c>
      <c r="C424" s="328"/>
      <c r="D424" s="423">
        <v>1.4999999999999999E-2</v>
      </c>
      <c r="E424" s="345" t="s">
        <v>228</v>
      </c>
      <c r="F424" s="261">
        <f>VLOOKUP($B424,HSU!$B$6:$D$38,3,FALSE)</f>
        <v>85000</v>
      </c>
      <c r="G424" s="262">
        <f>D424*F424</f>
        <v>1275</v>
      </c>
      <c r="H424" s="271"/>
      <c r="I424" s="458"/>
    </row>
    <row r="425" spans="1:9" x14ac:dyDescent="0.25">
      <c r="A425" s="272"/>
      <c r="B425" s="388" t="s">
        <v>222</v>
      </c>
      <c r="C425" s="274"/>
      <c r="D425" s="424"/>
      <c r="E425" s="273"/>
      <c r="F425" s="274"/>
      <c r="G425" s="275">
        <f>SUM(G409:G424)</f>
        <v>234173.5</v>
      </c>
      <c r="H425" s="275"/>
      <c r="I425" s="459">
        <f>G425+H425</f>
        <v>234173.5</v>
      </c>
    </row>
    <row r="426" spans="1:9" x14ac:dyDescent="0.25">
      <c r="A426" s="277"/>
      <c r="B426" s="389" t="s">
        <v>229</v>
      </c>
      <c r="C426" s="279"/>
      <c r="D426" s="425"/>
      <c r="E426" s="278"/>
      <c r="F426" s="279"/>
      <c r="G426" s="280"/>
      <c r="H426" s="281"/>
      <c r="I426" s="460">
        <f>I425*0.15</f>
        <v>35126.025000000001</v>
      </c>
    </row>
    <row r="427" spans="1:9" x14ac:dyDescent="0.25">
      <c r="A427" s="277"/>
      <c r="B427" s="389" t="s">
        <v>222</v>
      </c>
      <c r="C427" s="279"/>
      <c r="D427" s="426"/>
      <c r="E427" s="278"/>
      <c r="F427" s="279"/>
      <c r="G427" s="262"/>
      <c r="H427" s="281"/>
      <c r="I427" s="461">
        <f>I425+I426</f>
        <v>269299.52500000002</v>
      </c>
    </row>
    <row r="428" spans="1:9" x14ac:dyDescent="0.25">
      <c r="A428" s="282"/>
      <c r="B428" s="390" t="s">
        <v>230</v>
      </c>
      <c r="C428" s="284"/>
      <c r="D428" s="427"/>
      <c r="E428" s="283"/>
      <c r="F428" s="284"/>
      <c r="G428" s="324"/>
      <c r="H428" s="325"/>
      <c r="I428" s="462">
        <f>ROUNDUP(I427,-2)</f>
        <v>269300</v>
      </c>
    </row>
    <row r="429" spans="1:9" ht="15.75" thickBot="1" x14ac:dyDescent="0.3">
      <c r="A429" s="258"/>
      <c r="B429" s="390"/>
      <c r="C429" s="284"/>
      <c r="D429" s="427"/>
      <c r="E429" s="283"/>
      <c r="F429" s="284"/>
      <c r="G429" s="324"/>
      <c r="H429" s="325"/>
      <c r="I429" s="462"/>
    </row>
    <row r="430" spans="1:9" ht="16.5" thickTop="1" thickBot="1" x14ac:dyDescent="0.3">
      <c r="A430" s="253" t="s">
        <v>3</v>
      </c>
      <c r="B430" s="381" t="s">
        <v>1375</v>
      </c>
      <c r="C430" s="376" t="s">
        <v>1370</v>
      </c>
      <c r="D430" s="418" t="s">
        <v>1371</v>
      </c>
      <c r="E430" s="376" t="s">
        <v>1372</v>
      </c>
      <c r="F430" s="376" t="s">
        <v>1374</v>
      </c>
      <c r="G430" s="254" t="s">
        <v>1373</v>
      </c>
      <c r="H430" s="255"/>
      <c r="I430" s="455" t="s">
        <v>222</v>
      </c>
    </row>
    <row r="431" spans="1:9" ht="16.5" thickTop="1" thickBot="1" x14ac:dyDescent="0.3">
      <c r="A431" s="256" t="s">
        <v>223</v>
      </c>
      <c r="B431" s="382" t="s">
        <v>224</v>
      </c>
      <c r="C431" s="340" t="s">
        <v>225</v>
      </c>
      <c r="D431" s="419" t="s">
        <v>226</v>
      </c>
      <c r="E431" s="340" t="s">
        <v>1376</v>
      </c>
      <c r="F431" s="257" t="s">
        <v>1377</v>
      </c>
      <c r="G431" s="340" t="s">
        <v>1378</v>
      </c>
      <c r="H431" s="257" t="s">
        <v>1377</v>
      </c>
      <c r="I431" s="456" t="s">
        <v>1379</v>
      </c>
    </row>
    <row r="432" spans="1:9" ht="15.75" thickTop="1" x14ac:dyDescent="0.25">
      <c r="A432" s="297"/>
      <c r="B432" s="393"/>
      <c r="C432" s="343"/>
      <c r="D432" s="447"/>
      <c r="E432" s="342"/>
      <c r="F432" s="343"/>
      <c r="G432" s="300"/>
      <c r="H432" s="344"/>
      <c r="I432" s="466"/>
    </row>
    <row r="433" spans="1:9" x14ac:dyDescent="0.25">
      <c r="A433" s="258"/>
      <c r="B433" s="383" t="s">
        <v>1207</v>
      </c>
      <c r="C433" s="261"/>
      <c r="D433" s="439"/>
      <c r="E433" s="259"/>
      <c r="F433" s="261"/>
      <c r="G433" s="262"/>
      <c r="H433" s="263"/>
      <c r="I433" s="457"/>
    </row>
    <row r="434" spans="1:9" x14ac:dyDescent="0.25">
      <c r="A434" s="258"/>
      <c r="B434" s="383"/>
      <c r="C434" s="261"/>
      <c r="D434" s="439"/>
      <c r="E434" s="259"/>
      <c r="F434" s="261"/>
      <c r="G434" s="262"/>
      <c r="H434" s="263"/>
      <c r="I434" s="457"/>
    </row>
    <row r="435" spans="1:9" ht="26.25" x14ac:dyDescent="0.25">
      <c r="A435" s="258">
        <v>28</v>
      </c>
      <c r="B435" s="385" t="s">
        <v>1208</v>
      </c>
      <c r="C435" s="261"/>
      <c r="D435" s="422">
        <v>1</v>
      </c>
      <c r="E435" s="265" t="s">
        <v>14</v>
      </c>
      <c r="F435" s="261"/>
      <c r="G435" s="262"/>
      <c r="H435" s="263"/>
      <c r="I435" s="457"/>
    </row>
    <row r="436" spans="1:9" x14ac:dyDescent="0.25">
      <c r="A436" s="258" t="s">
        <v>231</v>
      </c>
      <c r="B436" s="408" t="s">
        <v>1210</v>
      </c>
      <c r="C436" s="261"/>
      <c r="D436" s="448">
        <v>1</v>
      </c>
      <c r="E436" s="345" t="s">
        <v>14</v>
      </c>
      <c r="F436" s="261">
        <f>HSM!$E$463</f>
        <v>221100</v>
      </c>
      <c r="G436" s="263">
        <f>D436*F436</f>
        <v>221100</v>
      </c>
      <c r="I436" s="457"/>
    </row>
    <row r="437" spans="1:9" x14ac:dyDescent="0.25">
      <c r="A437" s="258"/>
      <c r="B437" s="408" t="s">
        <v>1209</v>
      </c>
      <c r="C437" s="261"/>
      <c r="D437" s="448">
        <v>9.6</v>
      </c>
      <c r="E437" s="345" t="s">
        <v>233</v>
      </c>
      <c r="F437" s="261">
        <f>HSM!E484/40</f>
        <v>1350</v>
      </c>
      <c r="G437" s="263">
        <f>D437*F437</f>
        <v>12960</v>
      </c>
      <c r="I437" s="457"/>
    </row>
    <row r="438" spans="1:9" x14ac:dyDescent="0.25">
      <c r="A438" s="258"/>
      <c r="B438" s="408" t="s">
        <v>708</v>
      </c>
      <c r="C438" s="261"/>
      <c r="D438" s="448">
        <v>1.5</v>
      </c>
      <c r="E438" s="345" t="s">
        <v>233</v>
      </c>
      <c r="F438" s="261">
        <f>HSM!E482</f>
        <v>7650</v>
      </c>
      <c r="G438" s="263">
        <f>D438*F438</f>
        <v>11475</v>
      </c>
      <c r="I438" s="457"/>
    </row>
    <row r="439" spans="1:9" x14ac:dyDescent="0.25">
      <c r="A439" s="258"/>
      <c r="B439" s="408" t="s">
        <v>1152</v>
      </c>
      <c r="C439" s="261"/>
      <c r="D439" s="448">
        <v>4.4999999999999998E-2</v>
      </c>
      <c r="E439" s="345" t="s">
        <v>20</v>
      </c>
      <c r="F439" s="261">
        <f>HSM!$E$30</f>
        <v>274000</v>
      </c>
      <c r="G439" s="263">
        <f>D439*F439</f>
        <v>12330</v>
      </c>
      <c r="I439" s="457"/>
    </row>
    <row r="440" spans="1:9" x14ac:dyDescent="0.25">
      <c r="A440" s="258"/>
      <c r="B440" s="408" t="s">
        <v>217</v>
      </c>
      <c r="C440" s="261"/>
      <c r="D440" s="448">
        <v>0.24</v>
      </c>
      <c r="E440" s="345" t="s">
        <v>228</v>
      </c>
      <c r="F440" s="261">
        <f>VLOOKUP($B440,HSU!$B$6:$D$38,3,FALSE)</f>
        <v>70000</v>
      </c>
      <c r="G440" s="262">
        <f>D440*F440</f>
        <v>16800</v>
      </c>
      <c r="H440" s="263"/>
      <c r="I440" s="457"/>
    </row>
    <row r="441" spans="1:9" x14ac:dyDescent="0.25">
      <c r="A441" s="258"/>
      <c r="B441" s="408" t="s">
        <v>1153</v>
      </c>
      <c r="C441" s="261"/>
      <c r="D441" s="448">
        <v>0.12</v>
      </c>
      <c r="E441" s="345" t="s">
        <v>228</v>
      </c>
      <c r="F441" s="261">
        <f>VLOOKUP($B441,HSU!$B$6:$D$38,3,FALSE)</f>
        <v>80000</v>
      </c>
      <c r="G441" s="262">
        <f>D441*F441</f>
        <v>9600</v>
      </c>
      <c r="H441" s="263"/>
      <c r="I441" s="457"/>
    </row>
    <row r="442" spans="1:9" x14ac:dyDescent="0.25">
      <c r="A442" s="258"/>
      <c r="B442" s="408" t="s">
        <v>1174</v>
      </c>
      <c r="C442" s="261"/>
      <c r="D442" s="448">
        <v>1.2E-2</v>
      </c>
      <c r="E442" s="345" t="s">
        <v>228</v>
      </c>
      <c r="F442" s="261">
        <f>VLOOKUP($B442,HSU!$B$6:$D$38,3,FALSE)</f>
        <v>85000</v>
      </c>
      <c r="G442" s="262">
        <f>D442*F442</f>
        <v>1020</v>
      </c>
      <c r="H442" s="263"/>
      <c r="I442" s="457"/>
    </row>
    <row r="443" spans="1:9" x14ac:dyDescent="0.25">
      <c r="A443" s="258"/>
      <c r="B443" s="408" t="s">
        <v>220</v>
      </c>
      <c r="C443" s="261"/>
      <c r="D443" s="448">
        <v>1.2E-2</v>
      </c>
      <c r="E443" s="345" t="s">
        <v>228</v>
      </c>
      <c r="F443" s="261">
        <f>VLOOKUP($B443,HSU!$B$6:$D$38,3,FALSE)</f>
        <v>85000</v>
      </c>
      <c r="G443" s="262">
        <f>D443*F443</f>
        <v>1020</v>
      </c>
      <c r="H443" s="263"/>
      <c r="I443" s="457"/>
    </row>
    <row r="444" spans="1:9" x14ac:dyDescent="0.25">
      <c r="A444" s="272"/>
      <c r="B444" s="388" t="s">
        <v>222</v>
      </c>
      <c r="C444" s="274"/>
      <c r="D444" s="424"/>
      <c r="E444" s="273"/>
      <c r="F444" s="274"/>
      <c r="G444" s="275">
        <f>SUM(G436:G443)</f>
        <v>286305</v>
      </c>
      <c r="H444" s="275"/>
      <c r="I444" s="459">
        <f>G444+H444</f>
        <v>286305</v>
      </c>
    </row>
    <row r="445" spans="1:9" x14ac:dyDescent="0.25">
      <c r="A445" s="277"/>
      <c r="B445" s="389" t="s">
        <v>229</v>
      </c>
      <c r="C445" s="279"/>
      <c r="D445" s="425"/>
      <c r="E445" s="278"/>
      <c r="F445" s="279"/>
      <c r="G445" s="280"/>
      <c r="H445" s="281"/>
      <c r="I445" s="460">
        <f>I444*0.15</f>
        <v>42945.75</v>
      </c>
    </row>
    <row r="446" spans="1:9" x14ac:dyDescent="0.25">
      <c r="A446" s="277"/>
      <c r="B446" s="389" t="s">
        <v>222</v>
      </c>
      <c r="C446" s="279"/>
      <c r="D446" s="426"/>
      <c r="E446" s="278"/>
      <c r="F446" s="279"/>
      <c r="G446" s="262"/>
      <c r="H446" s="281"/>
      <c r="I446" s="461">
        <f>I444+I445</f>
        <v>329250.75</v>
      </c>
    </row>
    <row r="447" spans="1:9" x14ac:dyDescent="0.25">
      <c r="A447" s="282"/>
      <c r="B447" s="390" t="s">
        <v>230</v>
      </c>
      <c r="C447" s="284"/>
      <c r="D447" s="427"/>
      <c r="E447" s="283"/>
      <c r="F447" s="284"/>
      <c r="G447" s="324"/>
      <c r="H447" s="325"/>
      <c r="I447" s="462">
        <f>ROUNDUP(I446,-2)</f>
        <v>329300</v>
      </c>
    </row>
    <row r="448" spans="1:9" x14ac:dyDescent="0.25">
      <c r="A448" s="258"/>
      <c r="B448" s="383"/>
      <c r="C448" s="261"/>
      <c r="D448" s="439"/>
      <c r="E448" s="259"/>
      <c r="F448" s="261"/>
      <c r="G448" s="262"/>
      <c r="H448" s="263"/>
      <c r="I448" s="457"/>
    </row>
    <row r="449" spans="1:9" x14ac:dyDescent="0.25">
      <c r="A449" s="258">
        <v>29</v>
      </c>
      <c r="B449" s="385" t="s">
        <v>60</v>
      </c>
      <c r="C449" s="261"/>
      <c r="D449" s="422">
        <v>1</v>
      </c>
      <c r="E449" s="265" t="s">
        <v>16</v>
      </c>
      <c r="F449" s="261"/>
      <c r="G449" s="262"/>
      <c r="H449" s="263"/>
      <c r="I449" s="457"/>
    </row>
    <row r="450" spans="1:9" x14ac:dyDescent="0.25">
      <c r="A450" s="258" t="s">
        <v>231</v>
      </c>
      <c r="B450" s="408" t="s">
        <v>1211</v>
      </c>
      <c r="C450" s="261"/>
      <c r="D450" s="448">
        <v>3.53</v>
      </c>
      <c r="E450" s="345" t="s">
        <v>25</v>
      </c>
      <c r="F450" s="261">
        <f>HSM!E401</f>
        <v>22500</v>
      </c>
      <c r="G450" s="263">
        <f>D450*F450</f>
        <v>79425</v>
      </c>
      <c r="I450" s="457"/>
    </row>
    <row r="451" spans="1:9" x14ac:dyDescent="0.25">
      <c r="A451" s="258"/>
      <c r="B451" s="408" t="s">
        <v>1209</v>
      </c>
      <c r="C451" s="261"/>
      <c r="D451" s="448">
        <v>1.1399999999999999</v>
      </c>
      <c r="E451" s="345" t="s">
        <v>233</v>
      </c>
      <c r="F451" s="261">
        <f>F437</f>
        <v>1350</v>
      </c>
      <c r="G451" s="263">
        <f>D451*F451</f>
        <v>1538.9999999999998</v>
      </c>
      <c r="I451" s="457"/>
    </row>
    <row r="452" spans="1:9" x14ac:dyDescent="0.25">
      <c r="A452" s="258"/>
      <c r="B452" s="408" t="s">
        <v>708</v>
      </c>
      <c r="C452" s="261"/>
      <c r="D452" s="448">
        <v>0.1</v>
      </c>
      <c r="E452" s="345" t="s">
        <v>233</v>
      </c>
      <c r="F452" s="261">
        <f>F438</f>
        <v>7650</v>
      </c>
      <c r="G452" s="263">
        <f>D452*F452</f>
        <v>765</v>
      </c>
      <c r="I452" s="457"/>
    </row>
    <row r="453" spans="1:9" x14ac:dyDescent="0.25">
      <c r="A453" s="258"/>
      <c r="B453" s="408" t="s">
        <v>1152</v>
      </c>
      <c r="C453" s="261"/>
      <c r="D453" s="448">
        <v>3.0000000000000001E-3</v>
      </c>
      <c r="E453" s="345" t="s">
        <v>20</v>
      </c>
      <c r="F453" s="261">
        <f>F439</f>
        <v>274000</v>
      </c>
      <c r="G453" s="263">
        <f>D453*F453</f>
        <v>822</v>
      </c>
      <c r="I453" s="457"/>
    </row>
    <row r="454" spans="1:9" x14ac:dyDescent="0.25">
      <c r="A454" s="258"/>
      <c r="B454" s="408" t="s">
        <v>217</v>
      </c>
      <c r="C454" s="261"/>
      <c r="D454" s="448">
        <v>0.09</v>
      </c>
      <c r="E454" s="345" t="s">
        <v>228</v>
      </c>
      <c r="F454" s="261">
        <f>VLOOKUP($B454,HSU!$B$6:$D$38,3,FALSE)</f>
        <v>70000</v>
      </c>
      <c r="G454" s="262">
        <f>D454*F454</f>
        <v>6300</v>
      </c>
      <c r="H454" s="263"/>
      <c r="I454" s="457"/>
    </row>
    <row r="455" spans="1:9" x14ac:dyDescent="0.25">
      <c r="A455" s="258"/>
      <c r="B455" s="408" t="s">
        <v>1153</v>
      </c>
      <c r="C455" s="261"/>
      <c r="D455" s="448">
        <v>0.09</v>
      </c>
      <c r="E455" s="345" t="s">
        <v>228</v>
      </c>
      <c r="F455" s="261">
        <f>VLOOKUP($B455,HSU!$B$6:$D$38,3,FALSE)</f>
        <v>80000</v>
      </c>
      <c r="G455" s="262">
        <f>D455*F455</f>
        <v>7200</v>
      </c>
      <c r="H455" s="263"/>
      <c r="I455" s="457"/>
    </row>
    <row r="456" spans="1:9" x14ac:dyDescent="0.25">
      <c r="A456" s="258"/>
      <c r="B456" s="408" t="s">
        <v>1174</v>
      </c>
      <c r="C456" s="261"/>
      <c r="D456" s="448">
        <v>8.9999999999999993E-3</v>
      </c>
      <c r="E456" s="345" t="s">
        <v>228</v>
      </c>
      <c r="F456" s="261">
        <f>VLOOKUP($B456,HSU!$B$6:$D$38,3,FALSE)</f>
        <v>85000</v>
      </c>
      <c r="G456" s="262">
        <f>D456*F456</f>
        <v>764.99999999999989</v>
      </c>
      <c r="H456" s="263"/>
      <c r="I456" s="457"/>
    </row>
    <row r="457" spans="1:9" x14ac:dyDescent="0.25">
      <c r="A457" s="258"/>
      <c r="B457" s="408" t="s">
        <v>220</v>
      </c>
      <c r="C457" s="261"/>
      <c r="D457" s="448">
        <v>5.0000000000000001E-3</v>
      </c>
      <c r="E457" s="345" t="s">
        <v>228</v>
      </c>
      <c r="F457" s="261">
        <f>VLOOKUP($B457,HSU!$B$6:$D$38,3,FALSE)</f>
        <v>85000</v>
      </c>
      <c r="G457" s="262">
        <f>D457*F457</f>
        <v>425</v>
      </c>
      <c r="H457" s="263"/>
      <c r="I457" s="457"/>
    </row>
    <row r="458" spans="1:9" x14ac:dyDescent="0.25">
      <c r="A458" s="272"/>
      <c r="B458" s="388" t="s">
        <v>222</v>
      </c>
      <c r="C458" s="274"/>
      <c r="D458" s="424"/>
      <c r="E458" s="273"/>
      <c r="F458" s="274"/>
      <c r="G458" s="275">
        <f>SUM(G450:G457)</f>
        <v>97241</v>
      </c>
      <c r="H458" s="275"/>
      <c r="I458" s="459">
        <f>G458+H458</f>
        <v>97241</v>
      </c>
    </row>
    <row r="459" spans="1:9" x14ac:dyDescent="0.25">
      <c r="A459" s="277"/>
      <c r="B459" s="389" t="s">
        <v>229</v>
      </c>
      <c r="C459" s="279"/>
      <c r="D459" s="425"/>
      <c r="E459" s="278"/>
      <c r="F459" s="279"/>
      <c r="G459" s="280"/>
      <c r="H459" s="281"/>
      <c r="I459" s="460">
        <f>I458*0.15</f>
        <v>14586.15</v>
      </c>
    </row>
    <row r="460" spans="1:9" x14ac:dyDescent="0.25">
      <c r="A460" s="277"/>
      <c r="B460" s="389" t="s">
        <v>222</v>
      </c>
      <c r="C460" s="279"/>
      <c r="D460" s="426"/>
      <c r="E460" s="278"/>
      <c r="F460" s="279"/>
      <c r="G460" s="262"/>
      <c r="H460" s="281"/>
      <c r="I460" s="461">
        <f>I458+I459</f>
        <v>111827.15</v>
      </c>
    </row>
    <row r="461" spans="1:9" x14ac:dyDescent="0.25">
      <c r="A461" s="282"/>
      <c r="B461" s="390" t="s">
        <v>230</v>
      </c>
      <c r="C461" s="284"/>
      <c r="D461" s="427"/>
      <c r="E461" s="283"/>
      <c r="F461" s="284"/>
      <c r="G461" s="324"/>
      <c r="H461" s="325"/>
      <c r="I461" s="462">
        <f>ROUNDUP(I460,-2)</f>
        <v>111900</v>
      </c>
    </row>
    <row r="462" spans="1:9" x14ac:dyDescent="0.25">
      <c r="A462" s="258"/>
      <c r="B462" s="383"/>
      <c r="C462" s="261"/>
      <c r="D462" s="439"/>
      <c r="E462" s="259"/>
      <c r="F462" s="261"/>
      <c r="G462" s="262"/>
      <c r="H462" s="263"/>
      <c r="I462" s="457"/>
    </row>
    <row r="463" spans="1:9" ht="26.25" x14ac:dyDescent="0.25">
      <c r="A463" s="258">
        <v>30</v>
      </c>
      <c r="B463" s="385" t="s">
        <v>1212</v>
      </c>
      <c r="C463" s="261"/>
      <c r="D463" s="422">
        <v>1</v>
      </c>
      <c r="E463" s="265" t="s">
        <v>14</v>
      </c>
      <c r="F463" s="261"/>
      <c r="G463" s="262"/>
      <c r="H463" s="263"/>
      <c r="I463" s="457"/>
    </row>
    <row r="464" spans="1:9" x14ac:dyDescent="0.25">
      <c r="A464" s="258" t="s">
        <v>231</v>
      </c>
      <c r="B464" s="408" t="s">
        <v>1210</v>
      </c>
      <c r="C464" s="261"/>
      <c r="D464" s="448">
        <v>1</v>
      </c>
      <c r="E464" s="345" t="s">
        <v>14</v>
      </c>
      <c r="F464" s="261">
        <f>HSM!E458</f>
        <v>181500.00000000003</v>
      </c>
      <c r="G464" s="263">
        <f>D464*F464</f>
        <v>181500.00000000003</v>
      </c>
      <c r="I464" s="457"/>
    </row>
    <row r="465" spans="1:9" x14ac:dyDescent="0.25">
      <c r="A465" s="258"/>
      <c r="B465" s="408" t="s">
        <v>1209</v>
      </c>
      <c r="C465" s="261"/>
      <c r="D465" s="448">
        <v>10</v>
      </c>
      <c r="E465" s="345" t="s">
        <v>233</v>
      </c>
      <c r="F465" s="261">
        <f>F437</f>
        <v>1350</v>
      </c>
      <c r="G465" s="263">
        <f>D465*F465</f>
        <v>13500</v>
      </c>
      <c r="I465" s="457"/>
    </row>
    <row r="466" spans="1:9" x14ac:dyDescent="0.25">
      <c r="A466" s="258"/>
      <c r="B466" s="408" t="s">
        <v>708</v>
      </c>
      <c r="C466" s="261"/>
      <c r="D466" s="448">
        <v>0.6</v>
      </c>
      <c r="E466" s="345" t="s">
        <v>233</v>
      </c>
      <c r="F466" s="261">
        <f t="shared" ref="F466:F467" si="2">F438</f>
        <v>7650</v>
      </c>
      <c r="G466" s="263">
        <f>D466*F466</f>
        <v>4590</v>
      </c>
      <c r="I466" s="457"/>
    </row>
    <row r="467" spans="1:9" x14ac:dyDescent="0.25">
      <c r="A467" s="258"/>
      <c r="B467" s="408" t="s">
        <v>1152</v>
      </c>
      <c r="C467" s="261"/>
      <c r="D467" s="448">
        <v>4.4999999999999998E-2</v>
      </c>
      <c r="E467" s="345" t="s">
        <v>20</v>
      </c>
      <c r="F467" s="261">
        <f t="shared" si="2"/>
        <v>274000</v>
      </c>
      <c r="G467" s="263">
        <f>D467*F467</f>
        <v>12330</v>
      </c>
      <c r="I467" s="457"/>
    </row>
    <row r="468" spans="1:9" x14ac:dyDescent="0.25">
      <c r="A468" s="258"/>
      <c r="B468" s="408" t="s">
        <v>217</v>
      </c>
      <c r="C468" s="261"/>
      <c r="D468" s="448">
        <v>0.26</v>
      </c>
      <c r="E468" s="345" t="s">
        <v>228</v>
      </c>
      <c r="F468" s="261">
        <f>VLOOKUP($B468,HSU!$B$6:$D$38,3,FALSE)</f>
        <v>70000</v>
      </c>
      <c r="G468" s="262">
        <f>D468*F468</f>
        <v>18200</v>
      </c>
      <c r="H468" s="263"/>
      <c r="I468" s="457"/>
    </row>
    <row r="469" spans="1:9" x14ac:dyDescent="0.25">
      <c r="A469" s="258"/>
      <c r="B469" s="408" t="s">
        <v>1153</v>
      </c>
      <c r="C469" s="261"/>
      <c r="D469" s="448">
        <v>0.13</v>
      </c>
      <c r="E469" s="345" t="s">
        <v>228</v>
      </c>
      <c r="F469" s="261">
        <f>VLOOKUP($B469,HSU!$B$6:$D$38,3,FALSE)</f>
        <v>80000</v>
      </c>
      <c r="G469" s="262">
        <f>D469*F469</f>
        <v>10400</v>
      </c>
      <c r="H469" s="263"/>
      <c r="I469" s="457"/>
    </row>
    <row r="470" spans="1:9" x14ac:dyDescent="0.25">
      <c r="A470" s="258"/>
      <c r="B470" s="408" t="s">
        <v>1174</v>
      </c>
      <c r="C470" s="261"/>
      <c r="D470" s="448">
        <v>1.2999999999999999E-2</v>
      </c>
      <c r="E470" s="345" t="s">
        <v>228</v>
      </c>
      <c r="F470" s="261">
        <f>VLOOKUP($B470,HSU!$B$6:$D$38,3,FALSE)</f>
        <v>85000</v>
      </c>
      <c r="G470" s="262">
        <f>D470*F470</f>
        <v>1105</v>
      </c>
      <c r="H470" s="263"/>
      <c r="I470" s="457"/>
    </row>
    <row r="471" spans="1:9" x14ac:dyDescent="0.25">
      <c r="A471" s="258"/>
      <c r="B471" s="408" t="s">
        <v>220</v>
      </c>
      <c r="C471" s="261"/>
      <c r="D471" s="448">
        <v>1.2999999999999999E-2</v>
      </c>
      <c r="E471" s="345" t="s">
        <v>228</v>
      </c>
      <c r="F471" s="261">
        <f>VLOOKUP($B471,HSU!$B$6:$D$38,3,FALSE)</f>
        <v>85000</v>
      </c>
      <c r="G471" s="262">
        <f>D471*F471</f>
        <v>1105</v>
      </c>
      <c r="H471" s="263"/>
      <c r="I471" s="457"/>
    </row>
    <row r="472" spans="1:9" x14ac:dyDescent="0.25">
      <c r="A472" s="272"/>
      <c r="B472" s="388" t="s">
        <v>222</v>
      </c>
      <c r="C472" s="274"/>
      <c r="D472" s="424"/>
      <c r="E472" s="273"/>
      <c r="F472" s="274"/>
      <c r="G472" s="275">
        <f>SUM(G464:G471)</f>
        <v>242730.00000000003</v>
      </c>
      <c r="H472" s="275"/>
      <c r="I472" s="459">
        <f>G472+H472</f>
        <v>242730.00000000003</v>
      </c>
    </row>
    <row r="473" spans="1:9" x14ac:dyDescent="0.25">
      <c r="A473" s="277"/>
      <c r="B473" s="389" t="s">
        <v>229</v>
      </c>
      <c r="C473" s="279"/>
      <c r="D473" s="425"/>
      <c r="E473" s="278"/>
      <c r="F473" s="279"/>
      <c r="G473" s="280"/>
      <c r="H473" s="281"/>
      <c r="I473" s="460">
        <f>I472*0.15</f>
        <v>36409.5</v>
      </c>
    </row>
    <row r="474" spans="1:9" x14ac:dyDescent="0.25">
      <c r="A474" s="277"/>
      <c r="B474" s="389" t="s">
        <v>222</v>
      </c>
      <c r="C474" s="279"/>
      <c r="D474" s="426"/>
      <c r="E474" s="278"/>
      <c r="F474" s="279"/>
      <c r="G474" s="262"/>
      <c r="H474" s="281"/>
      <c r="I474" s="461">
        <f>I472+I473</f>
        <v>279139.5</v>
      </c>
    </row>
    <row r="475" spans="1:9" x14ac:dyDescent="0.25">
      <c r="A475" s="282"/>
      <c r="B475" s="390" t="s">
        <v>230</v>
      </c>
      <c r="C475" s="284"/>
      <c r="D475" s="427"/>
      <c r="E475" s="283"/>
      <c r="F475" s="284"/>
      <c r="G475" s="324"/>
      <c r="H475" s="325"/>
      <c r="I475" s="462">
        <f>ROUNDUP(I474,-2)</f>
        <v>279200</v>
      </c>
    </row>
    <row r="476" spans="1:9" x14ac:dyDescent="0.25">
      <c r="A476" s="258"/>
      <c r="B476" s="383"/>
      <c r="C476" s="261"/>
      <c r="D476" s="439"/>
      <c r="E476" s="259"/>
      <c r="F476" s="261"/>
      <c r="G476" s="262"/>
      <c r="H476" s="263"/>
      <c r="I476" s="457"/>
    </row>
    <row r="477" spans="1:9" x14ac:dyDescent="0.25">
      <c r="A477" s="258">
        <v>31</v>
      </c>
      <c r="B477" s="385" t="s">
        <v>60</v>
      </c>
      <c r="C477" s="261"/>
      <c r="D477" s="422">
        <v>1</v>
      </c>
      <c r="E477" s="265" t="s">
        <v>16</v>
      </c>
      <c r="F477" s="261"/>
      <c r="G477" s="262"/>
      <c r="H477" s="263"/>
      <c r="I477" s="457"/>
    </row>
    <row r="478" spans="1:9" x14ac:dyDescent="0.25">
      <c r="A478" s="258" t="s">
        <v>231</v>
      </c>
      <c r="B478" s="408" t="s">
        <v>1211</v>
      </c>
      <c r="C478" s="261"/>
      <c r="D478" s="448">
        <v>3.53</v>
      </c>
      <c r="E478" s="345" t="s">
        <v>25</v>
      </c>
      <c r="F478" s="261">
        <f>HSM!E467</f>
        <v>20328</v>
      </c>
      <c r="G478" s="263">
        <f>D478*F478</f>
        <v>71757.84</v>
      </c>
      <c r="I478" s="457"/>
    </row>
    <row r="479" spans="1:9" x14ac:dyDescent="0.25">
      <c r="A479" s="258"/>
      <c r="B479" s="408" t="s">
        <v>1209</v>
      </c>
      <c r="C479" s="261"/>
      <c r="D479" s="448">
        <v>1.1399999999999999</v>
      </c>
      <c r="E479" s="345" t="s">
        <v>233</v>
      </c>
      <c r="F479" s="261">
        <f t="shared" ref="F479:F481" si="3">F451</f>
        <v>1350</v>
      </c>
      <c r="G479" s="263">
        <f>D479*F479</f>
        <v>1538.9999999999998</v>
      </c>
      <c r="I479" s="457"/>
    </row>
    <row r="480" spans="1:9" x14ac:dyDescent="0.25">
      <c r="A480" s="258"/>
      <c r="B480" s="408" t="s">
        <v>708</v>
      </c>
      <c r="C480" s="261"/>
      <c r="D480" s="448">
        <v>0.1</v>
      </c>
      <c r="E480" s="345" t="s">
        <v>233</v>
      </c>
      <c r="F480" s="261">
        <f t="shared" si="3"/>
        <v>7650</v>
      </c>
      <c r="G480" s="263">
        <f>D480*F480</f>
        <v>765</v>
      </c>
      <c r="I480" s="457"/>
    </row>
    <row r="481" spans="1:9" x14ac:dyDescent="0.25">
      <c r="A481" s="258"/>
      <c r="B481" s="408" t="s">
        <v>1152</v>
      </c>
      <c r="C481" s="261"/>
      <c r="D481" s="448">
        <v>3.0000000000000001E-3</v>
      </c>
      <c r="E481" s="345" t="s">
        <v>20</v>
      </c>
      <c r="F481" s="261">
        <f t="shared" si="3"/>
        <v>274000</v>
      </c>
      <c r="G481" s="263">
        <f>D481*F481</f>
        <v>822</v>
      </c>
      <c r="I481" s="457"/>
    </row>
    <row r="482" spans="1:9" x14ac:dyDescent="0.25">
      <c r="A482" s="258"/>
      <c r="B482" s="408" t="s">
        <v>217</v>
      </c>
      <c r="C482" s="261"/>
      <c r="D482" s="448">
        <v>0.09</v>
      </c>
      <c r="E482" s="345" t="s">
        <v>228</v>
      </c>
      <c r="F482" s="261">
        <f>VLOOKUP($B482,HSU!$B$6:$D$38,3,FALSE)</f>
        <v>70000</v>
      </c>
      <c r="G482" s="262">
        <f>D482*F482</f>
        <v>6300</v>
      </c>
      <c r="H482" s="263"/>
      <c r="I482" s="457"/>
    </row>
    <row r="483" spans="1:9" x14ac:dyDescent="0.25">
      <c r="A483" s="258"/>
      <c r="B483" s="408" t="s">
        <v>1153</v>
      </c>
      <c r="C483" s="261"/>
      <c r="D483" s="448">
        <v>0.09</v>
      </c>
      <c r="E483" s="345" t="s">
        <v>228</v>
      </c>
      <c r="F483" s="261">
        <f>VLOOKUP($B483,HSU!$B$6:$D$38,3,FALSE)</f>
        <v>80000</v>
      </c>
      <c r="G483" s="262">
        <f>D483*F483</f>
        <v>7200</v>
      </c>
      <c r="H483" s="263"/>
      <c r="I483" s="457"/>
    </row>
    <row r="484" spans="1:9" x14ac:dyDescent="0.25">
      <c r="A484" s="258"/>
      <c r="B484" s="408" t="s">
        <v>1174</v>
      </c>
      <c r="C484" s="261"/>
      <c r="D484" s="448">
        <v>8.9999999999999993E-3</v>
      </c>
      <c r="E484" s="345" t="s">
        <v>228</v>
      </c>
      <c r="F484" s="261">
        <f>VLOOKUP($B484,HSU!$B$6:$D$38,3,FALSE)</f>
        <v>85000</v>
      </c>
      <c r="G484" s="262">
        <f>D484*F484</f>
        <v>764.99999999999989</v>
      </c>
      <c r="H484" s="263"/>
      <c r="I484" s="457"/>
    </row>
    <row r="485" spans="1:9" x14ac:dyDescent="0.25">
      <c r="A485" s="258"/>
      <c r="B485" s="408" t="s">
        <v>220</v>
      </c>
      <c r="C485" s="261"/>
      <c r="D485" s="448">
        <v>5.0000000000000001E-3</v>
      </c>
      <c r="E485" s="345" t="s">
        <v>228</v>
      </c>
      <c r="F485" s="261">
        <f>VLOOKUP($B485,HSU!$B$6:$D$38,3,FALSE)</f>
        <v>85000</v>
      </c>
      <c r="G485" s="262">
        <f>D485*F485</f>
        <v>425</v>
      </c>
      <c r="H485" s="263"/>
      <c r="I485" s="457"/>
    </row>
    <row r="486" spans="1:9" x14ac:dyDescent="0.25">
      <c r="A486" s="272"/>
      <c r="B486" s="388" t="s">
        <v>222</v>
      </c>
      <c r="C486" s="274"/>
      <c r="D486" s="424"/>
      <c r="E486" s="273"/>
      <c r="F486" s="274"/>
      <c r="G486" s="275">
        <f>SUM(G478:G485)</f>
        <v>89573.84</v>
      </c>
      <c r="H486" s="275"/>
      <c r="I486" s="459">
        <f>G486+H486</f>
        <v>89573.84</v>
      </c>
    </row>
    <row r="487" spans="1:9" x14ac:dyDescent="0.25">
      <c r="A487" s="277"/>
      <c r="B487" s="389" t="s">
        <v>229</v>
      </c>
      <c r="C487" s="279"/>
      <c r="D487" s="425"/>
      <c r="E487" s="278"/>
      <c r="F487" s="279"/>
      <c r="G487" s="280"/>
      <c r="H487" s="281"/>
      <c r="I487" s="460">
        <f>I486*0.15</f>
        <v>13436.075999999999</v>
      </c>
    </row>
    <row r="488" spans="1:9" x14ac:dyDescent="0.25">
      <c r="A488" s="277"/>
      <c r="B488" s="389" t="s">
        <v>222</v>
      </c>
      <c r="C488" s="279"/>
      <c r="D488" s="426"/>
      <c r="E488" s="278"/>
      <c r="F488" s="279"/>
      <c r="G488" s="262"/>
      <c r="H488" s="281"/>
      <c r="I488" s="461">
        <f>I486+I487</f>
        <v>103009.916</v>
      </c>
    </row>
    <row r="489" spans="1:9" x14ac:dyDescent="0.25">
      <c r="A489" s="282"/>
      <c r="B489" s="390" t="s">
        <v>230</v>
      </c>
      <c r="C489" s="284"/>
      <c r="D489" s="427"/>
      <c r="E489" s="283"/>
      <c r="F489" s="284"/>
      <c r="G489" s="324"/>
      <c r="H489" s="325"/>
      <c r="I489" s="462">
        <f>ROUNDUP(I488,-2)</f>
        <v>103100</v>
      </c>
    </row>
    <row r="490" spans="1:9" ht="15.75" thickBot="1" x14ac:dyDescent="0.3">
      <c r="A490" s="268"/>
      <c r="B490" s="397"/>
      <c r="C490" s="328"/>
      <c r="D490" s="440"/>
      <c r="E490" s="269"/>
      <c r="F490" s="328"/>
      <c r="G490" s="329"/>
      <c r="H490" s="271"/>
      <c r="I490" s="474"/>
    </row>
    <row r="491" spans="1:9" ht="16.5" thickTop="1" thickBot="1" x14ac:dyDescent="0.3">
      <c r="A491" s="253" t="s">
        <v>3</v>
      </c>
      <c r="B491" s="381" t="s">
        <v>1375</v>
      </c>
      <c r="C491" s="376" t="s">
        <v>1370</v>
      </c>
      <c r="D491" s="418" t="s">
        <v>1371</v>
      </c>
      <c r="E491" s="376" t="s">
        <v>1372</v>
      </c>
      <c r="F491" s="376" t="s">
        <v>1374</v>
      </c>
      <c r="G491" s="254" t="s">
        <v>1373</v>
      </c>
      <c r="H491" s="255"/>
      <c r="I491" s="455" t="s">
        <v>222</v>
      </c>
    </row>
    <row r="492" spans="1:9" ht="16.5" thickTop="1" thickBot="1" x14ac:dyDescent="0.3">
      <c r="A492" s="256" t="s">
        <v>223</v>
      </c>
      <c r="B492" s="382" t="s">
        <v>224</v>
      </c>
      <c r="C492" s="340" t="s">
        <v>225</v>
      </c>
      <c r="D492" s="419" t="s">
        <v>226</v>
      </c>
      <c r="E492" s="340" t="s">
        <v>1376</v>
      </c>
      <c r="F492" s="257" t="s">
        <v>1377</v>
      </c>
      <c r="G492" s="340" t="s">
        <v>1378</v>
      </c>
      <c r="H492" s="257" t="s">
        <v>1377</v>
      </c>
      <c r="I492" s="456" t="s">
        <v>1379</v>
      </c>
    </row>
    <row r="493" spans="1:9" ht="15.75" thickTop="1" x14ac:dyDescent="0.25">
      <c r="A493" s="297"/>
      <c r="B493" s="393"/>
      <c r="C493" s="343"/>
      <c r="D493" s="447"/>
      <c r="E493" s="342"/>
      <c r="F493" s="343"/>
      <c r="G493" s="300"/>
      <c r="H493" s="344"/>
      <c r="I493" s="466"/>
    </row>
    <row r="494" spans="1:9" x14ac:dyDescent="0.25">
      <c r="A494" s="258"/>
      <c r="B494" s="383" t="s">
        <v>1225</v>
      </c>
      <c r="C494" s="261"/>
      <c r="D494" s="439"/>
      <c r="E494" s="259"/>
      <c r="F494" s="261"/>
      <c r="G494" s="262"/>
      <c r="H494" s="263"/>
      <c r="I494" s="457"/>
    </row>
    <row r="495" spans="1:9" x14ac:dyDescent="0.25">
      <c r="A495" s="258"/>
      <c r="B495" s="383"/>
      <c r="C495" s="261"/>
      <c r="D495" s="439"/>
      <c r="E495" s="259"/>
      <c r="F495" s="261"/>
      <c r="G495" s="262"/>
      <c r="H495" s="263"/>
      <c r="I495" s="457"/>
    </row>
    <row r="496" spans="1:9" x14ac:dyDescent="0.25">
      <c r="A496" s="258">
        <v>31</v>
      </c>
      <c r="B496" s="385" t="s">
        <v>65</v>
      </c>
      <c r="C496" s="261"/>
      <c r="D496" s="422">
        <v>1</v>
      </c>
      <c r="E496" s="265" t="s">
        <v>1224</v>
      </c>
      <c r="F496" s="261"/>
      <c r="G496" s="262"/>
      <c r="H496" s="263"/>
      <c r="I496" s="457"/>
    </row>
    <row r="497" spans="1:9" x14ac:dyDescent="0.25">
      <c r="A497" s="258"/>
      <c r="B497" s="408" t="s">
        <v>1213</v>
      </c>
      <c r="C497" s="261"/>
      <c r="D497" s="448">
        <v>3.6</v>
      </c>
      <c r="E497" s="345" t="s">
        <v>997</v>
      </c>
      <c r="F497" s="261">
        <v>60000</v>
      </c>
      <c r="G497" s="263">
        <f>F497*D497</f>
        <v>216000</v>
      </c>
      <c r="I497" s="457"/>
    </row>
    <row r="498" spans="1:9" x14ac:dyDescent="0.25">
      <c r="A498" s="258"/>
      <c r="B498" s="408" t="s">
        <v>1214</v>
      </c>
      <c r="C498" s="261"/>
      <c r="D498" s="448">
        <v>17.600000000000001</v>
      </c>
      <c r="E498" s="345" t="s">
        <v>997</v>
      </c>
      <c r="F498" s="261">
        <v>51000</v>
      </c>
      <c r="G498" s="263">
        <f>F498*D498</f>
        <v>897600.00000000012</v>
      </c>
      <c r="I498" s="457"/>
    </row>
    <row r="499" spans="1:9" x14ac:dyDescent="0.25">
      <c r="A499" s="258"/>
      <c r="B499" s="408" t="s">
        <v>1215</v>
      </c>
      <c r="C499" s="261"/>
      <c r="D499" s="448">
        <v>7.2</v>
      </c>
      <c r="E499" s="345" t="s">
        <v>997</v>
      </c>
      <c r="F499" s="261">
        <v>8600</v>
      </c>
      <c r="G499" s="263">
        <f>F499*D499</f>
        <v>61920</v>
      </c>
      <c r="I499" s="457"/>
    </row>
    <row r="500" spans="1:9" x14ac:dyDescent="0.25">
      <c r="A500" s="258"/>
      <c r="B500" s="408" t="s">
        <v>1216</v>
      </c>
      <c r="C500" s="261"/>
      <c r="D500" s="448">
        <v>3.6</v>
      </c>
      <c r="E500" s="345" t="s">
        <v>14</v>
      </c>
      <c r="F500" s="261">
        <v>55000</v>
      </c>
      <c r="G500" s="263">
        <f>F500*D500</f>
        <v>198000</v>
      </c>
      <c r="I500" s="457"/>
    </row>
    <row r="501" spans="1:9" x14ac:dyDescent="0.25">
      <c r="A501" s="258"/>
      <c r="B501" s="408" t="s">
        <v>1217</v>
      </c>
      <c r="C501" s="261"/>
      <c r="D501" s="448">
        <v>37.200000000000003</v>
      </c>
      <c r="E501" s="345" t="s">
        <v>997</v>
      </c>
      <c r="F501" s="261">
        <v>1100</v>
      </c>
      <c r="G501" s="263">
        <f>F501*D501</f>
        <v>40920</v>
      </c>
      <c r="I501" s="457"/>
    </row>
    <row r="502" spans="1:9" x14ac:dyDescent="0.25">
      <c r="A502" s="258"/>
      <c r="B502" s="408" t="s">
        <v>1218</v>
      </c>
      <c r="C502" s="261"/>
      <c r="D502" s="448">
        <v>10</v>
      </c>
      <c r="E502" s="345" t="s">
        <v>14</v>
      </c>
      <c r="F502" s="261">
        <v>85000</v>
      </c>
      <c r="G502" s="263">
        <f>F502*D502</f>
        <v>850000</v>
      </c>
      <c r="I502" s="457"/>
    </row>
    <row r="503" spans="1:9" x14ac:dyDescent="0.25">
      <c r="A503" s="258"/>
      <c r="B503" s="408" t="s">
        <v>1219</v>
      </c>
      <c r="C503" s="261"/>
      <c r="D503" s="448">
        <v>5</v>
      </c>
      <c r="E503" s="345" t="s">
        <v>46</v>
      </c>
      <c r="F503" s="261">
        <v>35500</v>
      </c>
      <c r="G503" s="263">
        <f>F503*D503</f>
        <v>177500</v>
      </c>
      <c r="I503" s="457"/>
    </row>
    <row r="504" spans="1:9" x14ac:dyDescent="0.25">
      <c r="A504" s="258"/>
      <c r="B504" s="408" t="s">
        <v>1220</v>
      </c>
      <c r="C504" s="261"/>
      <c r="D504" s="448">
        <v>5</v>
      </c>
      <c r="E504" s="345" t="s">
        <v>1042</v>
      </c>
      <c r="F504" s="261">
        <v>10000</v>
      </c>
      <c r="G504" s="263">
        <f>F504*D504</f>
        <v>50000</v>
      </c>
      <c r="I504" s="457"/>
    </row>
    <row r="505" spans="1:9" x14ac:dyDescent="0.25">
      <c r="A505" s="258"/>
      <c r="B505" s="408" t="s">
        <v>1221</v>
      </c>
      <c r="C505" s="261"/>
      <c r="D505" s="448">
        <v>2</v>
      </c>
      <c r="E505" s="345" t="s">
        <v>46</v>
      </c>
      <c r="F505" s="261">
        <v>125000</v>
      </c>
      <c r="G505" s="262">
        <f>F505*D505</f>
        <v>250000</v>
      </c>
      <c r="H505" s="263"/>
      <c r="I505" s="457"/>
    </row>
    <row r="506" spans="1:9" x14ac:dyDescent="0.25">
      <c r="A506" s="258"/>
      <c r="B506" s="408" t="s">
        <v>1222</v>
      </c>
      <c r="C506" s="261"/>
      <c r="D506" s="448">
        <v>9.5</v>
      </c>
      <c r="E506" s="345" t="s">
        <v>14</v>
      </c>
      <c r="F506" s="261">
        <v>8500</v>
      </c>
      <c r="G506" s="262">
        <f>F506*D506</f>
        <v>80750</v>
      </c>
      <c r="H506" s="263"/>
      <c r="I506" s="457"/>
    </row>
    <row r="507" spans="1:9" x14ac:dyDescent="0.25">
      <c r="A507" s="258"/>
      <c r="B507" s="408" t="s">
        <v>1223</v>
      </c>
      <c r="C507" s="261"/>
      <c r="D507" s="448">
        <v>62</v>
      </c>
      <c r="E507" s="345" t="s">
        <v>997</v>
      </c>
      <c r="F507" s="261">
        <v>1500</v>
      </c>
      <c r="G507" s="262">
        <f>F507*D507</f>
        <v>93000</v>
      </c>
      <c r="H507" s="263"/>
      <c r="I507" s="457"/>
    </row>
    <row r="508" spans="1:9" x14ac:dyDescent="0.25">
      <c r="A508" s="272"/>
      <c r="B508" s="388" t="s">
        <v>222</v>
      </c>
      <c r="C508" s="274"/>
      <c r="D508" s="424"/>
      <c r="E508" s="273"/>
      <c r="F508" s="274"/>
      <c r="G508" s="275">
        <f>SUM(G497:G507)</f>
        <v>2915690</v>
      </c>
      <c r="H508" s="275">
        <f>SUM(H497:H505)</f>
        <v>0</v>
      </c>
      <c r="I508" s="459">
        <f>G508+H508</f>
        <v>2915690</v>
      </c>
    </row>
    <row r="509" spans="1:9" x14ac:dyDescent="0.25">
      <c r="A509" s="277"/>
      <c r="B509" s="389" t="s">
        <v>229</v>
      </c>
      <c r="C509" s="279"/>
      <c r="D509" s="425"/>
      <c r="E509" s="278"/>
      <c r="F509" s="279"/>
      <c r="G509" s="280"/>
      <c r="H509" s="281"/>
      <c r="I509" s="460">
        <f>I508*0.15</f>
        <v>437353.5</v>
      </c>
    </row>
    <row r="510" spans="1:9" x14ac:dyDescent="0.25">
      <c r="A510" s="277"/>
      <c r="B510" s="389" t="s">
        <v>222</v>
      </c>
      <c r="C510" s="279"/>
      <c r="D510" s="426"/>
      <c r="E510" s="278"/>
      <c r="F510" s="279"/>
      <c r="G510" s="262"/>
      <c r="H510" s="281"/>
      <c r="I510" s="461">
        <f>I508+I509</f>
        <v>3353043.5</v>
      </c>
    </row>
    <row r="511" spans="1:9" x14ac:dyDescent="0.25">
      <c r="A511" s="282"/>
      <c r="B511" s="390" t="s">
        <v>230</v>
      </c>
      <c r="C511" s="284"/>
      <c r="D511" s="427"/>
      <c r="E511" s="283"/>
      <c r="F511" s="284"/>
      <c r="G511" s="324"/>
      <c r="H511" s="325"/>
      <c r="I511" s="462">
        <f>ROUNDUP(I510,-2)</f>
        <v>3353100</v>
      </c>
    </row>
    <row r="512" spans="1:9" x14ac:dyDescent="0.25">
      <c r="A512" s="258"/>
      <c r="B512" s="383"/>
      <c r="C512" s="261"/>
      <c r="D512" s="439"/>
      <c r="E512" s="259"/>
      <c r="F512" s="261"/>
      <c r="G512" s="262"/>
      <c r="H512" s="263"/>
      <c r="I512" s="457"/>
    </row>
    <row r="513" spans="1:9" x14ac:dyDescent="0.25">
      <c r="A513" s="258">
        <v>31</v>
      </c>
      <c r="B513" s="385" t="s">
        <v>1226</v>
      </c>
      <c r="C513" s="261"/>
      <c r="D513" s="422">
        <v>1</v>
      </c>
      <c r="E513" s="265" t="s">
        <v>1224</v>
      </c>
      <c r="F513" s="261"/>
      <c r="G513" s="262"/>
      <c r="H513" s="263"/>
      <c r="I513" s="457"/>
    </row>
    <row r="514" spans="1:9" x14ac:dyDescent="0.25">
      <c r="A514" s="258"/>
      <c r="B514" s="408" t="s">
        <v>1227</v>
      </c>
      <c r="C514" s="261"/>
      <c r="D514" s="448">
        <v>1</v>
      </c>
      <c r="E514" s="345" t="s">
        <v>46</v>
      </c>
      <c r="F514" s="261">
        <v>1300000</v>
      </c>
      <c r="G514" s="263">
        <f>F514*D514</f>
        <v>1300000</v>
      </c>
      <c r="I514" s="457"/>
    </row>
    <row r="515" spans="1:9" x14ac:dyDescent="0.25">
      <c r="A515" s="258"/>
      <c r="B515" s="408" t="s">
        <v>1228</v>
      </c>
      <c r="C515" s="261"/>
      <c r="D515" s="448">
        <v>2.2000000000000002</v>
      </c>
      <c r="E515" s="345" t="s">
        <v>33</v>
      </c>
      <c r="F515" s="261">
        <v>95850</v>
      </c>
      <c r="G515" s="263">
        <f>F515*D515</f>
        <v>210870.00000000003</v>
      </c>
      <c r="I515" s="457"/>
    </row>
    <row r="516" spans="1:9" x14ac:dyDescent="0.25">
      <c r="A516" s="258"/>
      <c r="B516" s="408" t="s">
        <v>1217</v>
      </c>
      <c r="C516" s="261"/>
      <c r="D516" s="448">
        <v>12</v>
      </c>
      <c r="E516" s="345" t="s">
        <v>1075</v>
      </c>
      <c r="F516" s="261">
        <v>1100</v>
      </c>
      <c r="G516" s="263">
        <f>F516*D516</f>
        <v>13200</v>
      </c>
      <c r="I516" s="457"/>
    </row>
    <row r="517" spans="1:9" x14ac:dyDescent="0.25">
      <c r="A517" s="258"/>
      <c r="B517" s="408" t="s">
        <v>1213</v>
      </c>
      <c r="C517" s="261"/>
      <c r="D517" s="448">
        <v>1.8</v>
      </c>
      <c r="E517" s="345" t="s">
        <v>997</v>
      </c>
      <c r="F517" s="261">
        <v>60000</v>
      </c>
      <c r="G517" s="263">
        <f>F517*D517</f>
        <v>108000</v>
      </c>
      <c r="I517" s="457"/>
    </row>
    <row r="518" spans="1:9" x14ac:dyDescent="0.25">
      <c r="A518" s="258"/>
      <c r="B518" s="408" t="s">
        <v>1214</v>
      </c>
      <c r="C518" s="261"/>
      <c r="D518" s="448">
        <v>8.8000000000000007</v>
      </c>
      <c r="E518" s="345" t="s">
        <v>997</v>
      </c>
      <c r="F518" s="261">
        <v>51000</v>
      </c>
      <c r="G518" s="263">
        <f>F518*D518</f>
        <v>448800.00000000006</v>
      </c>
      <c r="I518" s="457"/>
    </row>
    <row r="519" spans="1:9" x14ac:dyDescent="0.25">
      <c r="A519" s="258"/>
      <c r="B519" s="408" t="s">
        <v>1215</v>
      </c>
      <c r="C519" s="261"/>
      <c r="D519" s="448">
        <v>3.6</v>
      </c>
      <c r="E519" s="345" t="s">
        <v>997</v>
      </c>
      <c r="F519" s="261">
        <v>8600</v>
      </c>
      <c r="G519" s="263">
        <f>F519*D519</f>
        <v>30960</v>
      </c>
      <c r="I519" s="457"/>
    </row>
    <row r="520" spans="1:9" x14ac:dyDescent="0.25">
      <c r="A520" s="258"/>
      <c r="B520" s="408" t="s">
        <v>1216</v>
      </c>
      <c r="C520" s="261"/>
      <c r="D520" s="448">
        <v>1.8</v>
      </c>
      <c r="E520" s="345" t="s">
        <v>14</v>
      </c>
      <c r="F520" s="261">
        <v>55000</v>
      </c>
      <c r="G520" s="263">
        <f>F520*D520</f>
        <v>99000</v>
      </c>
      <c r="I520" s="457"/>
    </row>
    <row r="521" spans="1:9" x14ac:dyDescent="0.25">
      <c r="A521" s="258"/>
      <c r="B521" s="408" t="s">
        <v>1218</v>
      </c>
      <c r="C521" s="261"/>
      <c r="D521" s="448">
        <v>4</v>
      </c>
      <c r="E521" s="345" t="s">
        <v>14</v>
      </c>
      <c r="F521" s="261">
        <v>85000</v>
      </c>
      <c r="G521" s="263">
        <f>F521*D521</f>
        <v>340000</v>
      </c>
      <c r="I521" s="457"/>
    </row>
    <row r="522" spans="1:9" x14ac:dyDescent="0.25">
      <c r="A522" s="258"/>
      <c r="B522" s="408" t="s">
        <v>217</v>
      </c>
      <c r="C522" s="261"/>
      <c r="D522" s="448">
        <v>1.05</v>
      </c>
      <c r="E522" s="345" t="s">
        <v>1229</v>
      </c>
      <c r="F522" s="261">
        <f>VLOOKUP($B522,HSU!$B$6:$D$38,3,FALSE)</f>
        <v>70000</v>
      </c>
      <c r="G522" s="262">
        <f>F522*D522</f>
        <v>73500</v>
      </c>
      <c r="H522" s="263"/>
      <c r="I522" s="457"/>
    </row>
    <row r="523" spans="1:9" x14ac:dyDescent="0.25">
      <c r="A523" s="258"/>
      <c r="B523" s="408" t="s">
        <v>219</v>
      </c>
      <c r="C523" s="261"/>
      <c r="D523" s="448">
        <v>1.05</v>
      </c>
      <c r="E523" s="345" t="s">
        <v>1229</v>
      </c>
      <c r="F523" s="261">
        <f>VLOOKUP($B523,HSU!$B$6:$D$38,3,FALSE)</f>
        <v>80000</v>
      </c>
      <c r="G523" s="262">
        <f>F523*D523</f>
        <v>84000</v>
      </c>
      <c r="H523" s="263"/>
      <c r="I523" s="457"/>
    </row>
    <row r="524" spans="1:9" x14ac:dyDescent="0.25">
      <c r="A524" s="258"/>
      <c r="B524" s="408" t="s">
        <v>1119</v>
      </c>
      <c r="C524" s="261"/>
      <c r="D524" s="448">
        <v>0.105</v>
      </c>
      <c r="E524" s="345" t="s">
        <v>1229</v>
      </c>
      <c r="F524" s="261">
        <f>VLOOKUP($B524,HSU!$B$6:$D$38,3,FALSE)</f>
        <v>90000</v>
      </c>
      <c r="G524" s="262">
        <f>F524*D524</f>
        <v>9450</v>
      </c>
      <c r="H524" s="263"/>
      <c r="I524" s="457"/>
    </row>
    <row r="525" spans="1:9" x14ac:dyDescent="0.25">
      <c r="A525" s="258"/>
      <c r="B525" s="408" t="s">
        <v>220</v>
      </c>
      <c r="C525" s="261"/>
      <c r="D525" s="448">
        <v>5.1999999999999998E-3</v>
      </c>
      <c r="E525" s="345" t="s">
        <v>1229</v>
      </c>
      <c r="F525" s="261">
        <f>VLOOKUP($B525,HSU!$B$6:$D$38,3,FALSE)</f>
        <v>85000</v>
      </c>
      <c r="G525" s="262">
        <f>F525*D525</f>
        <v>442</v>
      </c>
      <c r="H525" s="263"/>
      <c r="I525" s="457"/>
    </row>
    <row r="526" spans="1:9" x14ac:dyDescent="0.25">
      <c r="A526" s="272"/>
      <c r="B526" s="388" t="s">
        <v>222</v>
      </c>
      <c r="C526" s="274"/>
      <c r="D526" s="424"/>
      <c r="E526" s="273"/>
      <c r="F526" s="274"/>
      <c r="G526" s="275">
        <f>SUM(G514:G525)</f>
        <v>2718222</v>
      </c>
      <c r="H526" s="275"/>
      <c r="I526" s="459">
        <f>G526+H526</f>
        <v>2718222</v>
      </c>
    </row>
    <row r="527" spans="1:9" x14ac:dyDescent="0.25">
      <c r="A527" s="277"/>
      <c r="B527" s="389" t="s">
        <v>229</v>
      </c>
      <c r="C527" s="279"/>
      <c r="D527" s="425"/>
      <c r="E527" s="278"/>
      <c r="F527" s="279"/>
      <c r="G527" s="280"/>
      <c r="H527" s="281"/>
      <c r="I527" s="460">
        <f>I526*0.15</f>
        <v>407733.3</v>
      </c>
    </row>
    <row r="528" spans="1:9" x14ac:dyDescent="0.25">
      <c r="A528" s="277"/>
      <c r="B528" s="389" t="s">
        <v>222</v>
      </c>
      <c r="C528" s="279"/>
      <c r="D528" s="426"/>
      <c r="E528" s="278"/>
      <c r="F528" s="279"/>
      <c r="G528" s="262"/>
      <c r="H528" s="281"/>
      <c r="I528" s="461">
        <f>I526+I527</f>
        <v>3125955.3</v>
      </c>
    </row>
    <row r="529" spans="1:9" x14ac:dyDescent="0.25">
      <c r="A529" s="282"/>
      <c r="B529" s="390" t="s">
        <v>230</v>
      </c>
      <c r="C529" s="284"/>
      <c r="D529" s="427"/>
      <c r="E529" s="283"/>
      <c r="F529" s="284"/>
      <c r="G529" s="324"/>
      <c r="H529" s="325"/>
      <c r="I529" s="462">
        <f>ROUNDUP(I528,-2)</f>
        <v>3126000</v>
      </c>
    </row>
    <row r="530" spans="1:9" x14ac:dyDescent="0.25">
      <c r="A530" s="258"/>
      <c r="B530" s="383"/>
      <c r="C530" s="261"/>
      <c r="D530" s="439"/>
      <c r="E530" s="259"/>
      <c r="F530" s="261"/>
      <c r="G530" s="262"/>
      <c r="H530" s="263"/>
      <c r="I530" s="457"/>
    </row>
    <row r="531" spans="1:9" x14ac:dyDescent="0.25">
      <c r="A531" s="258">
        <v>31</v>
      </c>
      <c r="B531" s="385" t="s">
        <v>67</v>
      </c>
      <c r="C531" s="261"/>
      <c r="D531" s="422">
        <v>1</v>
      </c>
      <c r="E531" s="265" t="s">
        <v>1224</v>
      </c>
      <c r="F531" s="261"/>
      <c r="G531" s="262"/>
      <c r="H531" s="263"/>
      <c r="I531" s="457"/>
    </row>
    <row r="532" spans="1:9" x14ac:dyDescent="0.25">
      <c r="A532" s="258"/>
      <c r="B532" s="408" t="s">
        <v>1227</v>
      </c>
      <c r="C532" s="261"/>
      <c r="D532" s="448">
        <v>1</v>
      </c>
      <c r="E532" s="345" t="s">
        <v>46</v>
      </c>
      <c r="F532" s="261">
        <v>1300000</v>
      </c>
      <c r="G532" s="263">
        <f>F532*D532</f>
        <v>1300000</v>
      </c>
      <c r="I532" s="457"/>
    </row>
    <row r="533" spans="1:9" x14ac:dyDescent="0.25">
      <c r="A533" s="258"/>
      <c r="B533" s="408" t="s">
        <v>1228</v>
      </c>
      <c r="C533" s="261"/>
      <c r="D533" s="448">
        <v>1.1000000000000001</v>
      </c>
      <c r="E533" s="345" t="s">
        <v>33</v>
      </c>
      <c r="F533" s="261">
        <v>95850</v>
      </c>
      <c r="G533" s="263">
        <f>F533*D533</f>
        <v>105435.00000000001</v>
      </c>
      <c r="I533" s="457"/>
    </row>
    <row r="534" spans="1:9" x14ac:dyDescent="0.25">
      <c r="A534" s="258"/>
      <c r="B534" s="408" t="s">
        <v>1217</v>
      </c>
      <c r="C534" s="261"/>
      <c r="D534" s="448">
        <v>6</v>
      </c>
      <c r="E534" s="345" t="s">
        <v>1075</v>
      </c>
      <c r="F534" s="261">
        <v>1100</v>
      </c>
      <c r="G534" s="263">
        <f>F534*D534</f>
        <v>6600</v>
      </c>
      <c r="I534" s="457"/>
    </row>
    <row r="535" spans="1:9" x14ac:dyDescent="0.25">
      <c r="A535" s="258"/>
      <c r="B535" s="408" t="s">
        <v>1218</v>
      </c>
      <c r="C535" s="261"/>
      <c r="D535" s="448">
        <v>2</v>
      </c>
      <c r="E535" s="345" t="s">
        <v>997</v>
      </c>
      <c r="F535" s="261">
        <v>85000</v>
      </c>
      <c r="G535" s="263">
        <f>F535*D535</f>
        <v>170000</v>
      </c>
      <c r="I535" s="457"/>
    </row>
    <row r="536" spans="1:9" x14ac:dyDescent="0.25">
      <c r="A536" s="258"/>
      <c r="B536" s="408" t="s">
        <v>217</v>
      </c>
      <c r="C536" s="261"/>
      <c r="D536" s="448">
        <v>1.05</v>
      </c>
      <c r="E536" s="345" t="s">
        <v>1229</v>
      </c>
      <c r="F536" s="261">
        <f>VLOOKUP($B536,HSU!$B$6:$D$38,3,FALSE)</f>
        <v>70000</v>
      </c>
      <c r="G536" s="262">
        <f>F536*D536</f>
        <v>73500</v>
      </c>
      <c r="H536" s="263"/>
      <c r="I536" s="457"/>
    </row>
    <row r="537" spans="1:9" x14ac:dyDescent="0.25">
      <c r="A537" s="258"/>
      <c r="B537" s="408" t="s">
        <v>219</v>
      </c>
      <c r="C537" s="261"/>
      <c r="D537" s="448">
        <v>1.05</v>
      </c>
      <c r="E537" s="345" t="s">
        <v>1229</v>
      </c>
      <c r="F537" s="261">
        <f>VLOOKUP($B537,HSU!$B$6:$D$38,3,FALSE)</f>
        <v>80000</v>
      </c>
      <c r="G537" s="262">
        <f>F537*D537</f>
        <v>84000</v>
      </c>
      <c r="H537" s="263"/>
      <c r="I537" s="457"/>
    </row>
    <row r="538" spans="1:9" x14ac:dyDescent="0.25">
      <c r="A538" s="258"/>
      <c r="B538" s="408" t="s">
        <v>1119</v>
      </c>
      <c r="C538" s="261"/>
      <c r="D538" s="448">
        <v>0.105</v>
      </c>
      <c r="E538" s="345" t="s">
        <v>1229</v>
      </c>
      <c r="F538" s="261">
        <f>VLOOKUP($B538,HSU!$B$6:$D$38,3,FALSE)</f>
        <v>90000</v>
      </c>
      <c r="G538" s="262">
        <f>F538*D538</f>
        <v>9450</v>
      </c>
      <c r="H538" s="263"/>
      <c r="I538" s="457"/>
    </row>
    <row r="539" spans="1:9" x14ac:dyDescent="0.25">
      <c r="A539" s="258"/>
      <c r="B539" s="408" t="s">
        <v>220</v>
      </c>
      <c r="C539" s="261"/>
      <c r="D539" s="448">
        <v>5.1999999999999998E-3</v>
      </c>
      <c r="E539" s="345" t="s">
        <v>1229</v>
      </c>
      <c r="F539" s="261">
        <f>VLOOKUP($B539,HSU!$B$6:$D$38,3,FALSE)</f>
        <v>85000</v>
      </c>
      <c r="G539" s="262">
        <f>F539*D539</f>
        <v>442</v>
      </c>
      <c r="H539" s="263"/>
      <c r="I539" s="457"/>
    </row>
    <row r="540" spans="1:9" x14ac:dyDescent="0.25">
      <c r="A540" s="272"/>
      <c r="B540" s="388" t="s">
        <v>222</v>
      </c>
      <c r="C540" s="274"/>
      <c r="D540" s="424"/>
      <c r="E540" s="273"/>
      <c r="F540" s="274"/>
      <c r="G540" s="275">
        <f>SUM(G532:G539)</f>
        <v>1749427</v>
      </c>
      <c r="H540" s="275"/>
      <c r="I540" s="459">
        <f>G540+H540</f>
        <v>1749427</v>
      </c>
    </row>
    <row r="541" spans="1:9" x14ac:dyDescent="0.25">
      <c r="A541" s="277"/>
      <c r="B541" s="389" t="s">
        <v>229</v>
      </c>
      <c r="C541" s="279"/>
      <c r="D541" s="425"/>
      <c r="E541" s="278"/>
      <c r="F541" s="279"/>
      <c r="G541" s="280"/>
      <c r="H541" s="281"/>
      <c r="I541" s="460">
        <f>I540*0.15</f>
        <v>262414.05</v>
      </c>
    </row>
    <row r="542" spans="1:9" x14ac:dyDescent="0.25">
      <c r="A542" s="277"/>
      <c r="B542" s="389" t="s">
        <v>222</v>
      </c>
      <c r="C542" s="279"/>
      <c r="D542" s="426"/>
      <c r="E542" s="278"/>
      <c r="F542" s="279"/>
      <c r="G542" s="262"/>
      <c r="H542" s="281"/>
      <c r="I542" s="461">
        <f>I540+I541</f>
        <v>2011841.05</v>
      </c>
    </row>
    <row r="543" spans="1:9" x14ac:dyDescent="0.25">
      <c r="A543" s="282"/>
      <c r="B543" s="390" t="s">
        <v>230</v>
      </c>
      <c r="C543" s="284"/>
      <c r="D543" s="427"/>
      <c r="E543" s="283"/>
      <c r="F543" s="284"/>
      <c r="G543" s="324"/>
      <c r="H543" s="325"/>
      <c r="I543" s="462">
        <f>ROUNDUP(I542,-2)</f>
        <v>2011900</v>
      </c>
    </row>
    <row r="544" spans="1:9" x14ac:dyDescent="0.25">
      <c r="A544" s="258"/>
      <c r="B544" s="383"/>
      <c r="C544" s="261"/>
      <c r="D544" s="439"/>
      <c r="E544" s="259"/>
      <c r="F544" s="261"/>
      <c r="G544" s="262"/>
      <c r="H544" s="263"/>
      <c r="I544" s="457"/>
    </row>
    <row r="545" spans="1:9" x14ac:dyDescent="0.25">
      <c r="A545" s="258">
        <v>31</v>
      </c>
      <c r="B545" s="385" t="s">
        <v>68</v>
      </c>
      <c r="C545" s="261"/>
      <c r="D545" s="422">
        <v>1</v>
      </c>
      <c r="E545" s="265" t="s">
        <v>1224</v>
      </c>
      <c r="F545" s="261"/>
      <c r="G545" s="262"/>
      <c r="H545" s="263"/>
      <c r="I545" s="457"/>
    </row>
    <row r="546" spans="1:9" x14ac:dyDescent="0.25">
      <c r="A546" s="258"/>
      <c r="B546" s="408" t="s">
        <v>1227</v>
      </c>
      <c r="C546" s="261"/>
      <c r="D546" s="448">
        <v>1</v>
      </c>
      <c r="E546" s="345" t="s">
        <v>46</v>
      </c>
      <c r="F546" s="261">
        <v>1300000</v>
      </c>
      <c r="G546" s="263">
        <f>F546*D546</f>
        <v>1300000</v>
      </c>
      <c r="I546" s="457"/>
    </row>
    <row r="547" spans="1:9" x14ac:dyDescent="0.25">
      <c r="A547" s="258"/>
      <c r="B547" s="408" t="s">
        <v>1228</v>
      </c>
      <c r="C547" s="261"/>
      <c r="D547" s="448">
        <v>2.2000000000000002</v>
      </c>
      <c r="E547" s="345" t="s">
        <v>33</v>
      </c>
      <c r="F547" s="261">
        <v>95850</v>
      </c>
      <c r="G547" s="263">
        <f>F547*D547</f>
        <v>210870.00000000003</v>
      </c>
      <c r="I547" s="457"/>
    </row>
    <row r="548" spans="1:9" x14ac:dyDescent="0.25">
      <c r="A548" s="258"/>
      <c r="B548" s="408" t="s">
        <v>1217</v>
      </c>
      <c r="C548" s="261"/>
      <c r="D548" s="448">
        <v>12</v>
      </c>
      <c r="E548" s="345" t="s">
        <v>1075</v>
      </c>
      <c r="F548" s="261">
        <v>1100</v>
      </c>
      <c r="G548" s="263">
        <f>F548*D548</f>
        <v>13200</v>
      </c>
      <c r="I548" s="457"/>
    </row>
    <row r="549" spans="1:9" x14ac:dyDescent="0.25">
      <c r="A549" s="258"/>
      <c r="B549" s="408" t="s">
        <v>1213</v>
      </c>
      <c r="C549" s="261"/>
      <c r="D549" s="448">
        <v>0.9</v>
      </c>
      <c r="E549" s="345" t="s">
        <v>997</v>
      </c>
      <c r="F549" s="261">
        <v>60000</v>
      </c>
      <c r="G549" s="263">
        <f>F549*D549</f>
        <v>54000</v>
      </c>
      <c r="I549" s="457"/>
    </row>
    <row r="550" spans="1:9" x14ac:dyDescent="0.25">
      <c r="A550" s="258"/>
      <c r="B550" s="408" t="s">
        <v>1214</v>
      </c>
      <c r="C550" s="261"/>
      <c r="D550" s="448">
        <v>4.4000000000000004</v>
      </c>
      <c r="E550" s="345" t="s">
        <v>997</v>
      </c>
      <c r="F550" s="261">
        <v>51000</v>
      </c>
      <c r="G550" s="263">
        <f>F550*D550</f>
        <v>224400.00000000003</v>
      </c>
      <c r="I550" s="457"/>
    </row>
    <row r="551" spans="1:9" x14ac:dyDescent="0.25">
      <c r="A551" s="258"/>
      <c r="B551" s="408" t="s">
        <v>1215</v>
      </c>
      <c r="C551" s="261"/>
      <c r="D551" s="448">
        <v>1.8</v>
      </c>
      <c r="E551" s="345" t="s">
        <v>997</v>
      </c>
      <c r="F551" s="261">
        <v>8600</v>
      </c>
      <c r="G551" s="263">
        <f>F551*D551</f>
        <v>15480</v>
      </c>
      <c r="I551" s="457"/>
    </row>
    <row r="552" spans="1:9" x14ac:dyDescent="0.25">
      <c r="A552" s="258"/>
      <c r="B552" s="408" t="s">
        <v>1216</v>
      </c>
      <c r="C552" s="261"/>
      <c r="D552" s="448">
        <v>0.9</v>
      </c>
      <c r="E552" s="345" t="s">
        <v>14</v>
      </c>
      <c r="F552" s="261">
        <v>55000</v>
      </c>
      <c r="G552" s="263">
        <f>F552*D552</f>
        <v>49500</v>
      </c>
      <c r="I552" s="457"/>
    </row>
    <row r="553" spans="1:9" x14ac:dyDescent="0.25">
      <c r="A553" s="258"/>
      <c r="B553" s="408" t="s">
        <v>1218</v>
      </c>
      <c r="C553" s="261"/>
      <c r="D553" s="448">
        <v>2</v>
      </c>
      <c r="E553" s="345" t="s">
        <v>14</v>
      </c>
      <c r="F553" s="261">
        <v>85000</v>
      </c>
      <c r="G553" s="263">
        <f>F553*D553</f>
        <v>170000</v>
      </c>
      <c r="I553" s="457"/>
    </row>
    <row r="554" spans="1:9" x14ac:dyDescent="0.25">
      <c r="A554" s="258"/>
      <c r="B554" s="408" t="s">
        <v>217</v>
      </c>
      <c r="C554" s="261"/>
      <c r="D554" s="448">
        <v>1.05</v>
      </c>
      <c r="E554" s="345" t="s">
        <v>1229</v>
      </c>
      <c r="F554" s="261">
        <f>VLOOKUP($B554,HSU!$B$6:$D$38,3,FALSE)</f>
        <v>70000</v>
      </c>
      <c r="G554" s="262">
        <f>F554*D554</f>
        <v>73500</v>
      </c>
      <c r="H554" s="263"/>
      <c r="I554" s="457"/>
    </row>
    <row r="555" spans="1:9" x14ac:dyDescent="0.25">
      <c r="A555" s="258"/>
      <c r="B555" s="408" t="s">
        <v>219</v>
      </c>
      <c r="C555" s="261"/>
      <c r="D555" s="448">
        <v>1.05</v>
      </c>
      <c r="E555" s="345" t="s">
        <v>1229</v>
      </c>
      <c r="F555" s="261">
        <f>VLOOKUP($B555,HSU!$B$6:$D$38,3,FALSE)</f>
        <v>80000</v>
      </c>
      <c r="G555" s="262">
        <f>F555*D555</f>
        <v>84000</v>
      </c>
      <c r="H555" s="263"/>
      <c r="I555" s="457"/>
    </row>
    <row r="556" spans="1:9" x14ac:dyDescent="0.25">
      <c r="A556" s="258"/>
      <c r="B556" s="408" t="s">
        <v>1119</v>
      </c>
      <c r="C556" s="261"/>
      <c r="D556" s="448">
        <v>0.105</v>
      </c>
      <c r="E556" s="345" t="s">
        <v>1229</v>
      </c>
      <c r="F556" s="261">
        <f>VLOOKUP($B556,HSU!$B$6:$D$38,3,FALSE)</f>
        <v>90000</v>
      </c>
      <c r="G556" s="262">
        <f>F556*D556</f>
        <v>9450</v>
      </c>
      <c r="H556" s="263"/>
      <c r="I556" s="457"/>
    </row>
    <row r="557" spans="1:9" x14ac:dyDescent="0.25">
      <c r="A557" s="258"/>
      <c r="B557" s="408" t="s">
        <v>220</v>
      </c>
      <c r="C557" s="261"/>
      <c r="D557" s="448">
        <v>5.1999999999999998E-3</v>
      </c>
      <c r="E557" s="345" t="s">
        <v>1229</v>
      </c>
      <c r="F557" s="261">
        <f>VLOOKUP($B557,HSU!$B$6:$D$38,3,FALSE)</f>
        <v>85000</v>
      </c>
      <c r="G557" s="262">
        <f>F557*D557</f>
        <v>442</v>
      </c>
      <c r="H557" s="263"/>
      <c r="I557" s="457"/>
    </row>
    <row r="558" spans="1:9" x14ac:dyDescent="0.25">
      <c r="A558" s="272"/>
      <c r="B558" s="388" t="s">
        <v>222</v>
      </c>
      <c r="C558" s="274"/>
      <c r="D558" s="424"/>
      <c r="E558" s="273"/>
      <c r="F558" s="274"/>
      <c r="G558" s="275">
        <f>SUM(G546:G557)</f>
        <v>2204842</v>
      </c>
      <c r="H558" s="275"/>
      <c r="I558" s="459">
        <f>G558+H558</f>
        <v>2204842</v>
      </c>
    </row>
    <row r="559" spans="1:9" x14ac:dyDescent="0.25">
      <c r="A559" s="277"/>
      <c r="B559" s="389" t="s">
        <v>229</v>
      </c>
      <c r="C559" s="279"/>
      <c r="D559" s="425"/>
      <c r="E559" s="278"/>
      <c r="F559" s="279"/>
      <c r="G559" s="280"/>
      <c r="H559" s="281"/>
      <c r="I559" s="460">
        <f>I558*0.15</f>
        <v>330726.3</v>
      </c>
    </row>
    <row r="560" spans="1:9" x14ac:dyDescent="0.25">
      <c r="A560" s="277"/>
      <c r="B560" s="389" t="s">
        <v>222</v>
      </c>
      <c r="C560" s="279"/>
      <c r="D560" s="426"/>
      <c r="E560" s="278"/>
      <c r="F560" s="279"/>
      <c r="G560" s="262"/>
      <c r="H560" s="281"/>
      <c r="I560" s="461">
        <f>I558+I559</f>
        <v>2535568.2999999998</v>
      </c>
    </row>
    <row r="561" spans="1:9" x14ac:dyDescent="0.25">
      <c r="A561" s="282"/>
      <c r="B561" s="390" t="s">
        <v>230</v>
      </c>
      <c r="C561" s="284"/>
      <c r="D561" s="427"/>
      <c r="E561" s="283"/>
      <c r="F561" s="284"/>
      <c r="G561" s="324"/>
      <c r="H561" s="325"/>
      <c r="I561" s="462">
        <f>ROUNDUP(I560,-2)</f>
        <v>2535600</v>
      </c>
    </row>
    <row r="562" spans="1:9" x14ac:dyDescent="0.25">
      <c r="A562" s="258"/>
      <c r="B562" s="383"/>
      <c r="C562" s="261"/>
      <c r="D562" s="439"/>
      <c r="E562" s="259"/>
      <c r="F562" s="261"/>
      <c r="G562" s="262"/>
      <c r="H562" s="263"/>
      <c r="I562" s="457"/>
    </row>
    <row r="563" spans="1:9" x14ac:dyDescent="0.25">
      <c r="A563" s="258">
        <v>31</v>
      </c>
      <c r="B563" s="385" t="s">
        <v>69</v>
      </c>
      <c r="C563" s="261"/>
      <c r="D563" s="422">
        <v>1</v>
      </c>
      <c r="E563" s="265" t="s">
        <v>1224</v>
      </c>
      <c r="F563" s="261"/>
      <c r="G563" s="262"/>
      <c r="H563" s="263"/>
      <c r="I563" s="457"/>
    </row>
    <row r="564" spans="1:9" x14ac:dyDescent="0.25">
      <c r="A564" s="258"/>
      <c r="B564" s="408" t="s">
        <v>1227</v>
      </c>
      <c r="C564" s="261"/>
      <c r="D564" s="448">
        <v>1</v>
      </c>
      <c r="E564" s="345" t="s">
        <v>46</v>
      </c>
      <c r="F564" s="261">
        <v>1300000</v>
      </c>
      <c r="G564" s="263">
        <f>F564*D564</f>
        <v>1300000</v>
      </c>
      <c r="I564" s="457"/>
    </row>
    <row r="565" spans="1:9" x14ac:dyDescent="0.25">
      <c r="A565" s="258"/>
      <c r="B565" s="408" t="s">
        <v>1228</v>
      </c>
      <c r="C565" s="261"/>
      <c r="D565" s="448">
        <v>2.2000000000000002</v>
      </c>
      <c r="E565" s="345" t="s">
        <v>33</v>
      </c>
      <c r="F565" s="261">
        <v>95850</v>
      </c>
      <c r="G565" s="263">
        <f>F565*D565</f>
        <v>210870.00000000003</v>
      </c>
      <c r="I565" s="457"/>
    </row>
    <row r="566" spans="1:9" x14ac:dyDescent="0.25">
      <c r="A566" s="258"/>
      <c r="B566" s="408" t="s">
        <v>1217</v>
      </c>
      <c r="C566" s="261"/>
      <c r="D566" s="448">
        <v>12</v>
      </c>
      <c r="E566" s="345" t="s">
        <v>1075</v>
      </c>
      <c r="F566" s="261">
        <v>1100</v>
      </c>
      <c r="G566" s="263">
        <f>F566*D566</f>
        <v>13200</v>
      </c>
      <c r="I566" s="457"/>
    </row>
    <row r="567" spans="1:9" x14ac:dyDescent="0.25">
      <c r="A567" s="258"/>
      <c r="B567" s="408" t="s">
        <v>1230</v>
      </c>
      <c r="C567" s="261"/>
      <c r="D567" s="448">
        <v>0.5</v>
      </c>
      <c r="E567" s="345" t="s">
        <v>997</v>
      </c>
      <c r="F567" s="261">
        <v>1020000</v>
      </c>
      <c r="G567" s="263">
        <f>F567*D567</f>
        <v>510000</v>
      </c>
      <c r="I567" s="457"/>
    </row>
    <row r="568" spans="1:9" x14ac:dyDescent="0.25">
      <c r="A568" s="258"/>
      <c r="B568" s="408" t="s">
        <v>1231</v>
      </c>
      <c r="C568" s="261"/>
      <c r="D568" s="448">
        <v>1.25</v>
      </c>
      <c r="E568" s="345" t="s">
        <v>997</v>
      </c>
      <c r="F568" s="261">
        <v>15000</v>
      </c>
      <c r="G568" s="263">
        <f>F568*D568</f>
        <v>18750</v>
      </c>
      <c r="I568" s="457"/>
    </row>
    <row r="569" spans="1:9" x14ac:dyDescent="0.25">
      <c r="A569" s="258"/>
      <c r="B569" s="408" t="s">
        <v>1232</v>
      </c>
      <c r="C569" s="261"/>
      <c r="D569" s="448">
        <v>1</v>
      </c>
      <c r="E569" s="345" t="s">
        <v>997</v>
      </c>
      <c r="F569" s="261">
        <v>15000</v>
      </c>
      <c r="G569" s="263">
        <f>F569*D569</f>
        <v>15000</v>
      </c>
      <c r="I569" s="457"/>
    </row>
    <row r="570" spans="1:9" x14ac:dyDescent="0.25">
      <c r="A570" s="258"/>
      <c r="B570" s="408" t="s">
        <v>217</v>
      </c>
      <c r="C570" s="261"/>
      <c r="D570" s="448">
        <v>1.05</v>
      </c>
      <c r="E570" s="345" t="s">
        <v>1229</v>
      </c>
      <c r="F570" s="261">
        <f>VLOOKUP($B570,HSU!$B$6:$D$38,3,FALSE)</f>
        <v>70000</v>
      </c>
      <c r="G570" s="262">
        <f>F570*D570</f>
        <v>73500</v>
      </c>
      <c r="H570" s="263"/>
      <c r="I570" s="457"/>
    </row>
    <row r="571" spans="1:9" x14ac:dyDescent="0.25">
      <c r="A571" s="258"/>
      <c r="B571" s="408" t="s">
        <v>219</v>
      </c>
      <c r="C571" s="261"/>
      <c r="D571" s="448">
        <v>1.05</v>
      </c>
      <c r="E571" s="345" t="s">
        <v>1229</v>
      </c>
      <c r="F571" s="261">
        <f>VLOOKUP($B571,HSU!$B$6:$D$38,3,FALSE)</f>
        <v>80000</v>
      </c>
      <c r="G571" s="262">
        <f>F571*D571</f>
        <v>84000</v>
      </c>
      <c r="H571" s="263"/>
      <c r="I571" s="457"/>
    </row>
    <row r="572" spans="1:9" x14ac:dyDescent="0.25">
      <c r="A572" s="258"/>
      <c r="B572" s="408" t="s">
        <v>1119</v>
      </c>
      <c r="C572" s="261"/>
      <c r="D572" s="448">
        <v>0.105</v>
      </c>
      <c r="E572" s="345" t="s">
        <v>1229</v>
      </c>
      <c r="F572" s="261">
        <f>VLOOKUP($B572,HSU!$B$6:$D$38,3,FALSE)</f>
        <v>90000</v>
      </c>
      <c r="G572" s="262">
        <f>F572*D572</f>
        <v>9450</v>
      </c>
      <c r="H572" s="263"/>
      <c r="I572" s="457"/>
    </row>
    <row r="573" spans="1:9" x14ac:dyDescent="0.25">
      <c r="A573" s="258"/>
      <c r="B573" s="408" t="s">
        <v>220</v>
      </c>
      <c r="C573" s="261"/>
      <c r="D573" s="448">
        <v>5.1999999999999998E-3</v>
      </c>
      <c r="E573" s="345" t="s">
        <v>1229</v>
      </c>
      <c r="F573" s="261">
        <f>VLOOKUP($B573,HSU!$B$6:$D$38,3,FALSE)</f>
        <v>85000</v>
      </c>
      <c r="G573" s="262">
        <f>F573*D573</f>
        <v>442</v>
      </c>
      <c r="H573" s="263"/>
      <c r="I573" s="457"/>
    </row>
    <row r="574" spans="1:9" x14ac:dyDescent="0.25">
      <c r="A574" s="272"/>
      <c r="B574" s="388" t="s">
        <v>222</v>
      </c>
      <c r="C574" s="274"/>
      <c r="D574" s="424"/>
      <c r="E574" s="273"/>
      <c r="F574" s="274"/>
      <c r="G574" s="275">
        <f>SUM(G564:G573)</f>
        <v>2235212</v>
      </c>
      <c r="H574" s="275"/>
      <c r="I574" s="459">
        <f>G574+H574</f>
        <v>2235212</v>
      </c>
    </row>
    <row r="575" spans="1:9" x14ac:dyDescent="0.25">
      <c r="A575" s="277"/>
      <c r="B575" s="389" t="s">
        <v>229</v>
      </c>
      <c r="C575" s="279"/>
      <c r="D575" s="425"/>
      <c r="E575" s="278"/>
      <c r="F575" s="279"/>
      <c r="G575" s="280"/>
      <c r="H575" s="281"/>
      <c r="I575" s="460">
        <f>I574*0.15</f>
        <v>335281.8</v>
      </c>
    </row>
    <row r="576" spans="1:9" x14ac:dyDescent="0.25">
      <c r="A576" s="277"/>
      <c r="B576" s="389" t="s">
        <v>222</v>
      </c>
      <c r="C576" s="279"/>
      <c r="D576" s="426"/>
      <c r="E576" s="278"/>
      <c r="F576" s="279"/>
      <c r="G576" s="262"/>
      <c r="H576" s="281"/>
      <c r="I576" s="461">
        <f>I574+I575</f>
        <v>2570493.7999999998</v>
      </c>
    </row>
    <row r="577" spans="1:9" x14ac:dyDescent="0.25">
      <c r="A577" s="282"/>
      <c r="B577" s="390" t="s">
        <v>230</v>
      </c>
      <c r="C577" s="284"/>
      <c r="D577" s="427"/>
      <c r="E577" s="283"/>
      <c r="F577" s="284"/>
      <c r="G577" s="324"/>
      <c r="H577" s="325"/>
      <c r="I577" s="462">
        <f>ROUNDUP(I576,-2)</f>
        <v>2570500</v>
      </c>
    </row>
    <row r="578" spans="1:9" x14ac:dyDescent="0.25">
      <c r="A578" s="258"/>
      <c r="B578" s="383"/>
      <c r="C578" s="261"/>
      <c r="D578" s="439"/>
      <c r="E578" s="259"/>
      <c r="F578" s="261"/>
      <c r="G578" s="262"/>
      <c r="H578" s="263"/>
      <c r="I578" s="457"/>
    </row>
    <row r="579" spans="1:9" x14ac:dyDescent="0.25">
      <c r="A579" s="258">
        <v>31</v>
      </c>
      <c r="B579" s="385" t="s">
        <v>70</v>
      </c>
      <c r="C579" s="261"/>
      <c r="D579" s="422">
        <v>1</v>
      </c>
      <c r="E579" s="265" t="s">
        <v>1224</v>
      </c>
      <c r="F579" s="261"/>
      <c r="G579" s="262"/>
      <c r="H579" s="263"/>
      <c r="I579" s="457"/>
    </row>
    <row r="580" spans="1:9" x14ac:dyDescent="0.25">
      <c r="A580" s="258"/>
      <c r="B580" s="408" t="s">
        <v>1213</v>
      </c>
      <c r="C580" s="261"/>
      <c r="D580" s="448">
        <v>3.6</v>
      </c>
      <c r="E580" s="345" t="s">
        <v>997</v>
      </c>
      <c r="F580" s="261">
        <v>60000</v>
      </c>
      <c r="G580" s="263">
        <f>F580*D580</f>
        <v>216000</v>
      </c>
      <c r="I580" s="457"/>
    </row>
    <row r="581" spans="1:9" x14ac:dyDescent="0.25">
      <c r="A581" s="258"/>
      <c r="B581" s="408" t="s">
        <v>1214</v>
      </c>
      <c r="C581" s="261"/>
      <c r="D581" s="448">
        <v>17.600000000000001</v>
      </c>
      <c r="E581" s="345" t="s">
        <v>997</v>
      </c>
      <c r="F581" s="261">
        <v>51000</v>
      </c>
      <c r="G581" s="263">
        <f>F581*D581</f>
        <v>897600.00000000012</v>
      </c>
      <c r="I581" s="457"/>
    </row>
    <row r="582" spans="1:9" x14ac:dyDescent="0.25">
      <c r="A582" s="258"/>
      <c r="B582" s="408" t="s">
        <v>1215</v>
      </c>
      <c r="C582" s="261"/>
      <c r="D582" s="448">
        <v>7.2</v>
      </c>
      <c r="E582" s="345" t="s">
        <v>997</v>
      </c>
      <c r="F582" s="261">
        <v>8600</v>
      </c>
      <c r="G582" s="263">
        <f>F582*D582</f>
        <v>61920</v>
      </c>
      <c r="I582" s="457"/>
    </row>
    <row r="583" spans="1:9" x14ac:dyDescent="0.25">
      <c r="A583" s="258"/>
      <c r="B583" s="408" t="s">
        <v>1216</v>
      </c>
      <c r="C583" s="261"/>
      <c r="D583" s="448">
        <v>3.6</v>
      </c>
      <c r="E583" s="345" t="s">
        <v>14</v>
      </c>
      <c r="F583" s="261">
        <v>55000</v>
      </c>
      <c r="G583" s="263">
        <f>F583*D583</f>
        <v>198000</v>
      </c>
      <c r="I583" s="457"/>
    </row>
    <row r="584" spans="1:9" x14ac:dyDescent="0.25">
      <c r="A584" s="258"/>
      <c r="B584" s="408" t="s">
        <v>1217</v>
      </c>
      <c r="C584" s="261"/>
      <c r="D584" s="448">
        <v>37.200000000000003</v>
      </c>
      <c r="E584" s="345" t="s">
        <v>997</v>
      </c>
      <c r="F584" s="261">
        <v>1100</v>
      </c>
      <c r="G584" s="263">
        <f>F584*D584</f>
        <v>40920</v>
      </c>
      <c r="I584" s="457"/>
    </row>
    <row r="585" spans="1:9" x14ac:dyDescent="0.25">
      <c r="A585" s="258"/>
      <c r="B585" s="408" t="s">
        <v>1218</v>
      </c>
      <c r="C585" s="261"/>
      <c r="D585" s="448">
        <v>8</v>
      </c>
      <c r="E585" s="345" t="s">
        <v>14</v>
      </c>
      <c r="F585" s="261">
        <v>85000</v>
      </c>
      <c r="G585" s="263">
        <f>F585*D585</f>
        <v>680000</v>
      </c>
      <c r="I585" s="457"/>
    </row>
    <row r="586" spans="1:9" x14ac:dyDescent="0.25">
      <c r="A586" s="258"/>
      <c r="B586" s="408" t="s">
        <v>1219</v>
      </c>
      <c r="C586" s="261"/>
      <c r="D586" s="448">
        <v>4</v>
      </c>
      <c r="E586" s="345" t="s">
        <v>46</v>
      </c>
      <c r="F586" s="261">
        <v>35500</v>
      </c>
      <c r="G586" s="263">
        <f>F586*D586</f>
        <v>142000</v>
      </c>
      <c r="I586" s="457"/>
    </row>
    <row r="587" spans="1:9" x14ac:dyDescent="0.25">
      <c r="A587" s="258"/>
      <c r="B587" s="408" t="s">
        <v>1220</v>
      </c>
      <c r="C587" s="261"/>
      <c r="D587" s="448">
        <v>4</v>
      </c>
      <c r="E587" s="345" t="s">
        <v>1042</v>
      </c>
      <c r="F587" s="261">
        <v>10000</v>
      </c>
      <c r="G587" s="263">
        <f>F587*D587</f>
        <v>40000</v>
      </c>
      <c r="I587" s="457"/>
    </row>
    <row r="588" spans="1:9" x14ac:dyDescent="0.25">
      <c r="A588" s="258"/>
      <c r="B588" s="408" t="s">
        <v>1221</v>
      </c>
      <c r="C588" s="261"/>
      <c r="D588" s="448">
        <v>1.8</v>
      </c>
      <c r="E588" s="345" t="s">
        <v>46</v>
      </c>
      <c r="F588" s="261">
        <v>125000</v>
      </c>
      <c r="G588" s="262">
        <f>F588*D588</f>
        <v>225000</v>
      </c>
      <c r="H588" s="263"/>
      <c r="I588" s="457"/>
    </row>
    <row r="589" spans="1:9" x14ac:dyDescent="0.25">
      <c r="A589" s="258"/>
      <c r="B589" s="408" t="s">
        <v>1222</v>
      </c>
      <c r="C589" s="261"/>
      <c r="D589" s="448">
        <v>7.6</v>
      </c>
      <c r="E589" s="345" t="s">
        <v>14</v>
      </c>
      <c r="F589" s="261">
        <v>8500</v>
      </c>
      <c r="G589" s="262">
        <f>F589*D589</f>
        <v>64600</v>
      </c>
      <c r="H589" s="263"/>
      <c r="I589" s="457"/>
    </row>
    <row r="590" spans="1:9" x14ac:dyDescent="0.25">
      <c r="A590" s="258"/>
      <c r="B590" s="408" t="s">
        <v>1223</v>
      </c>
      <c r="C590" s="261"/>
      <c r="D590" s="448">
        <v>49.6</v>
      </c>
      <c r="E590" s="345" t="s">
        <v>997</v>
      </c>
      <c r="F590" s="261">
        <v>1500</v>
      </c>
      <c r="G590" s="262">
        <f>F590*D590</f>
        <v>74400</v>
      </c>
      <c r="H590" s="263"/>
      <c r="I590" s="457"/>
    </row>
    <row r="591" spans="1:9" x14ac:dyDescent="0.25">
      <c r="A591" s="272"/>
      <c r="B591" s="388" t="s">
        <v>222</v>
      </c>
      <c r="C591" s="274"/>
      <c r="D591" s="424"/>
      <c r="E591" s="273"/>
      <c r="F591" s="274"/>
      <c r="G591" s="275">
        <f>SUM(G580:G590)</f>
        <v>2640440</v>
      </c>
      <c r="H591" s="275"/>
      <c r="I591" s="459">
        <f>G591+H591</f>
        <v>2640440</v>
      </c>
    </row>
    <row r="592" spans="1:9" x14ac:dyDescent="0.25">
      <c r="A592" s="277"/>
      <c r="B592" s="389" t="s">
        <v>229</v>
      </c>
      <c r="C592" s="279"/>
      <c r="D592" s="425"/>
      <c r="E592" s="278"/>
      <c r="F592" s="279"/>
      <c r="G592" s="280"/>
      <c r="H592" s="281"/>
      <c r="I592" s="460">
        <f>I591*0.15</f>
        <v>396066</v>
      </c>
    </row>
    <row r="593" spans="1:9" x14ac:dyDescent="0.25">
      <c r="A593" s="277"/>
      <c r="B593" s="389" t="s">
        <v>222</v>
      </c>
      <c r="C593" s="279"/>
      <c r="D593" s="426"/>
      <c r="E593" s="278"/>
      <c r="F593" s="279"/>
      <c r="G593" s="262"/>
      <c r="H593" s="281"/>
      <c r="I593" s="461">
        <f>I591+I592</f>
        <v>3036506</v>
      </c>
    </row>
    <row r="594" spans="1:9" x14ac:dyDescent="0.25">
      <c r="A594" s="282"/>
      <c r="B594" s="390" t="s">
        <v>230</v>
      </c>
      <c r="C594" s="284"/>
      <c r="D594" s="427"/>
      <c r="E594" s="283"/>
      <c r="F594" s="284"/>
      <c r="G594" s="324"/>
      <c r="H594" s="325"/>
      <c r="I594" s="462">
        <f>ROUNDUP(I593,-2)</f>
        <v>3036600</v>
      </c>
    </row>
    <row r="595" spans="1:9" x14ac:dyDescent="0.25">
      <c r="A595" s="258"/>
      <c r="B595" s="383"/>
      <c r="C595" s="261"/>
      <c r="D595" s="439"/>
      <c r="E595" s="259"/>
      <c r="F595" s="261"/>
      <c r="G595" s="262"/>
      <c r="H595" s="263"/>
      <c r="I595" s="457"/>
    </row>
    <row r="596" spans="1:9" x14ac:dyDescent="0.25">
      <c r="A596" s="348">
        <v>31</v>
      </c>
      <c r="B596" s="410" t="s">
        <v>123</v>
      </c>
      <c r="C596" s="350"/>
      <c r="D596" s="449">
        <v>1</v>
      </c>
      <c r="E596" s="349" t="s">
        <v>1224</v>
      </c>
      <c r="F596" s="350"/>
      <c r="G596" s="351"/>
      <c r="H596" s="352"/>
      <c r="I596" s="475"/>
    </row>
    <row r="597" spans="1:9" x14ac:dyDescent="0.25">
      <c r="A597" s="348"/>
      <c r="B597" s="411" t="s">
        <v>1213</v>
      </c>
      <c r="C597" s="350"/>
      <c r="D597" s="450">
        <v>2.6</v>
      </c>
      <c r="E597" s="353" t="s">
        <v>997</v>
      </c>
      <c r="F597" s="350">
        <v>60000</v>
      </c>
      <c r="G597" s="352">
        <f>F597*D597</f>
        <v>156000</v>
      </c>
      <c r="I597" s="475"/>
    </row>
    <row r="598" spans="1:9" x14ac:dyDescent="0.25">
      <c r="A598" s="348"/>
      <c r="B598" s="411" t="s">
        <v>1214</v>
      </c>
      <c r="C598" s="350"/>
      <c r="D598" s="450">
        <f>0.9*5</f>
        <v>4.5</v>
      </c>
      <c r="E598" s="353" t="s">
        <v>997</v>
      </c>
      <c r="F598" s="350">
        <v>51000</v>
      </c>
      <c r="G598" s="352">
        <f>F598*D598</f>
        <v>229500</v>
      </c>
      <c r="I598" s="475"/>
    </row>
    <row r="599" spans="1:9" x14ac:dyDescent="0.25">
      <c r="A599" s="348"/>
      <c r="B599" s="411" t="s">
        <v>1215</v>
      </c>
      <c r="C599" s="350"/>
      <c r="D599" s="450">
        <f>D597+D600</f>
        <v>5.2</v>
      </c>
      <c r="E599" s="353" t="s">
        <v>997</v>
      </c>
      <c r="F599" s="350">
        <v>8600</v>
      </c>
      <c r="G599" s="352">
        <f>F599*D599</f>
        <v>44720</v>
      </c>
      <c r="I599" s="475"/>
    </row>
    <row r="600" spans="1:9" x14ac:dyDescent="0.25">
      <c r="A600" s="348"/>
      <c r="B600" s="411" t="s">
        <v>1216</v>
      </c>
      <c r="C600" s="350"/>
      <c r="D600" s="450">
        <v>2.6</v>
      </c>
      <c r="E600" s="353" t="s">
        <v>997</v>
      </c>
      <c r="F600" s="350">
        <v>55000</v>
      </c>
      <c r="G600" s="352">
        <f>F600*D600</f>
        <v>143000</v>
      </c>
      <c r="I600" s="475"/>
    </row>
    <row r="601" spans="1:9" x14ac:dyDescent="0.25">
      <c r="A601" s="348"/>
      <c r="B601" s="411" t="s">
        <v>1217</v>
      </c>
      <c r="C601" s="350"/>
      <c r="D601" s="450">
        <f>D598*2+D600+D597+D599</f>
        <v>19.399999999999999</v>
      </c>
      <c r="E601" s="353" t="s">
        <v>997</v>
      </c>
      <c r="F601" s="350">
        <v>1100</v>
      </c>
      <c r="G601" s="352">
        <f>F601*D601</f>
        <v>21340</v>
      </c>
      <c r="I601" s="475"/>
    </row>
    <row r="602" spans="1:9" x14ac:dyDescent="0.25">
      <c r="A602" s="348"/>
      <c r="B602" s="411" t="s">
        <v>1218</v>
      </c>
      <c r="C602" s="350"/>
      <c r="D602" s="450">
        <v>8</v>
      </c>
      <c r="E602" s="353" t="s">
        <v>14</v>
      </c>
      <c r="F602" s="350">
        <v>85000</v>
      </c>
      <c r="G602" s="352">
        <f>F602*D602</f>
        <v>680000</v>
      </c>
      <c r="I602" s="475"/>
    </row>
    <row r="603" spans="1:9" x14ac:dyDescent="0.25">
      <c r="A603" s="348"/>
      <c r="B603" s="411" t="s">
        <v>1219</v>
      </c>
      <c r="C603" s="350"/>
      <c r="D603" s="450">
        <v>4</v>
      </c>
      <c r="E603" s="353" t="s">
        <v>46</v>
      </c>
      <c r="F603" s="350">
        <v>35500</v>
      </c>
      <c r="G603" s="352">
        <f>F603*D603</f>
        <v>142000</v>
      </c>
      <c r="I603" s="475"/>
    </row>
    <row r="604" spans="1:9" x14ac:dyDescent="0.25">
      <c r="A604" s="348"/>
      <c r="B604" s="411" t="s">
        <v>1220</v>
      </c>
      <c r="C604" s="350"/>
      <c r="D604" s="450">
        <v>4</v>
      </c>
      <c r="E604" s="353" t="s">
        <v>1042</v>
      </c>
      <c r="F604" s="350">
        <v>10000</v>
      </c>
      <c r="G604" s="352">
        <f>F604*D604</f>
        <v>40000</v>
      </c>
      <c r="I604" s="475"/>
    </row>
    <row r="605" spans="1:9" x14ac:dyDescent="0.25">
      <c r="A605" s="348"/>
      <c r="B605" s="411" t="s">
        <v>1221</v>
      </c>
      <c r="C605" s="350"/>
      <c r="D605" s="450">
        <v>1.8</v>
      </c>
      <c r="E605" s="353" t="s">
        <v>46</v>
      </c>
      <c r="F605" s="350">
        <v>125000</v>
      </c>
      <c r="G605" s="351">
        <f>F605*D605</f>
        <v>225000</v>
      </c>
      <c r="H605" s="352"/>
      <c r="I605" s="475"/>
    </row>
    <row r="606" spans="1:9" x14ac:dyDescent="0.25">
      <c r="A606" s="348"/>
      <c r="B606" s="411" t="s">
        <v>1222</v>
      </c>
      <c r="C606" s="350"/>
      <c r="D606" s="450">
        <v>7.6</v>
      </c>
      <c r="E606" s="353" t="s">
        <v>14</v>
      </c>
      <c r="F606" s="350">
        <v>8500</v>
      </c>
      <c r="G606" s="351">
        <f>F606*D606</f>
        <v>64600</v>
      </c>
      <c r="H606" s="352"/>
      <c r="I606" s="475"/>
    </row>
    <row r="607" spans="1:9" x14ac:dyDescent="0.25">
      <c r="A607" s="348"/>
      <c r="B607" s="411" t="s">
        <v>1223</v>
      </c>
      <c r="C607" s="350"/>
      <c r="D607" s="450">
        <v>49.6</v>
      </c>
      <c r="E607" s="353" t="s">
        <v>997</v>
      </c>
      <c r="F607" s="350">
        <v>1500</v>
      </c>
      <c r="G607" s="351">
        <f>F607*D607</f>
        <v>74400</v>
      </c>
      <c r="H607" s="352"/>
      <c r="I607" s="475"/>
    </row>
    <row r="608" spans="1:9" x14ac:dyDescent="0.25">
      <c r="A608" s="354"/>
      <c r="B608" s="412" t="s">
        <v>222</v>
      </c>
      <c r="C608" s="356"/>
      <c r="D608" s="451"/>
      <c r="E608" s="355"/>
      <c r="F608" s="356"/>
      <c r="G608" s="357">
        <f>SUM(G597:G607)</f>
        <v>1820560</v>
      </c>
      <c r="H608" s="357"/>
      <c r="I608" s="476">
        <f>G608+H608</f>
        <v>1820560</v>
      </c>
    </row>
    <row r="609" spans="1:9" x14ac:dyDescent="0.25">
      <c r="A609" s="358"/>
      <c r="B609" s="413" t="s">
        <v>229</v>
      </c>
      <c r="C609" s="360"/>
      <c r="D609" s="452"/>
      <c r="E609" s="359"/>
      <c r="F609" s="360"/>
      <c r="G609" s="361"/>
      <c r="H609" s="362"/>
      <c r="I609" s="477">
        <f>I608*0.15</f>
        <v>273084</v>
      </c>
    </row>
    <row r="610" spans="1:9" x14ac:dyDescent="0.25">
      <c r="A610" s="358"/>
      <c r="B610" s="413" t="s">
        <v>222</v>
      </c>
      <c r="C610" s="360"/>
      <c r="D610" s="453"/>
      <c r="E610" s="359"/>
      <c r="F610" s="360"/>
      <c r="G610" s="351"/>
      <c r="H610" s="362"/>
      <c r="I610" s="478">
        <f>I608+I609</f>
        <v>2093644</v>
      </c>
    </row>
    <row r="611" spans="1:9" x14ac:dyDescent="0.25">
      <c r="A611" s="363"/>
      <c r="B611" s="414" t="s">
        <v>230</v>
      </c>
      <c r="C611" s="365"/>
      <c r="D611" s="454"/>
      <c r="E611" s="364"/>
      <c r="F611" s="365"/>
      <c r="G611" s="366"/>
      <c r="H611" s="367"/>
      <c r="I611" s="479">
        <f>ROUNDUP(I610,-2)</f>
        <v>2093700</v>
      </c>
    </row>
    <row r="612" spans="1:9" x14ac:dyDescent="0.25">
      <c r="A612" s="258"/>
      <c r="B612" s="383"/>
      <c r="C612" s="261"/>
      <c r="D612" s="439"/>
      <c r="E612" s="259"/>
      <c r="F612" s="261"/>
      <c r="G612" s="262"/>
      <c r="H612" s="263"/>
      <c r="I612" s="457"/>
    </row>
    <row r="613" spans="1:9" x14ac:dyDescent="0.25">
      <c r="A613" s="348">
        <v>31</v>
      </c>
      <c r="B613" s="410" t="s">
        <v>124</v>
      </c>
      <c r="C613" s="350"/>
      <c r="D613" s="449">
        <v>1</v>
      </c>
      <c r="E613" s="349" t="s">
        <v>1224</v>
      </c>
      <c r="F613" s="350"/>
      <c r="G613" s="351"/>
      <c r="H613" s="352"/>
      <c r="I613" s="475"/>
    </row>
    <row r="614" spans="1:9" x14ac:dyDescent="0.25">
      <c r="A614" s="348"/>
      <c r="B614" s="411" t="s">
        <v>1213</v>
      </c>
      <c r="C614" s="350"/>
      <c r="D614" s="450">
        <v>1.55</v>
      </c>
      <c r="E614" s="353" t="s">
        <v>997</v>
      </c>
      <c r="F614" s="350">
        <v>60000</v>
      </c>
      <c r="G614" s="352">
        <f>F614*D614</f>
        <v>93000</v>
      </c>
      <c r="I614" s="475"/>
    </row>
    <row r="615" spans="1:9" x14ac:dyDescent="0.25">
      <c r="A615" s="348"/>
      <c r="B615" s="411" t="s">
        <v>1214</v>
      </c>
      <c r="C615" s="350"/>
      <c r="D615" s="450">
        <f>2.2*4</f>
        <v>8.8000000000000007</v>
      </c>
      <c r="E615" s="353" t="s">
        <v>997</v>
      </c>
      <c r="F615" s="350">
        <v>51000</v>
      </c>
      <c r="G615" s="352">
        <f>F615*D615</f>
        <v>448800.00000000006</v>
      </c>
      <c r="I615" s="475"/>
    </row>
    <row r="616" spans="1:9" x14ac:dyDescent="0.25">
      <c r="A616" s="348"/>
      <c r="B616" s="411" t="s">
        <v>1215</v>
      </c>
      <c r="C616" s="350"/>
      <c r="D616" s="450">
        <f>D614+D617</f>
        <v>5.15</v>
      </c>
      <c r="E616" s="353" t="s">
        <v>997</v>
      </c>
      <c r="F616" s="350">
        <v>8600</v>
      </c>
      <c r="G616" s="352">
        <f>F616*D616</f>
        <v>44290</v>
      </c>
      <c r="I616" s="475"/>
    </row>
    <row r="617" spans="1:9" x14ac:dyDescent="0.25">
      <c r="A617" s="348"/>
      <c r="B617" s="411" t="s">
        <v>1216</v>
      </c>
      <c r="C617" s="350"/>
      <c r="D617" s="450">
        <v>3.6</v>
      </c>
      <c r="E617" s="353" t="s">
        <v>997</v>
      </c>
      <c r="F617" s="350">
        <v>55000</v>
      </c>
      <c r="G617" s="352">
        <f>F617*D617</f>
        <v>198000</v>
      </c>
      <c r="I617" s="475"/>
    </row>
    <row r="618" spans="1:9" x14ac:dyDescent="0.25">
      <c r="A618" s="348"/>
      <c r="B618" s="411" t="s">
        <v>1217</v>
      </c>
      <c r="C618" s="350"/>
      <c r="D618" s="450">
        <v>37.200000000000003</v>
      </c>
      <c r="E618" s="353" t="s">
        <v>997</v>
      </c>
      <c r="F618" s="350">
        <v>1100</v>
      </c>
      <c r="G618" s="352">
        <f>F618*D618</f>
        <v>40920</v>
      </c>
      <c r="I618" s="475"/>
    </row>
    <row r="619" spans="1:9" x14ac:dyDescent="0.25">
      <c r="A619" s="348"/>
      <c r="B619" s="411" t="s">
        <v>1218</v>
      </c>
      <c r="C619" s="350"/>
      <c r="D619" s="450">
        <v>8</v>
      </c>
      <c r="E619" s="353" t="s">
        <v>14</v>
      </c>
      <c r="F619" s="350">
        <v>85000</v>
      </c>
      <c r="G619" s="352">
        <f>F619*D619</f>
        <v>680000</v>
      </c>
      <c r="I619" s="475"/>
    </row>
    <row r="620" spans="1:9" x14ac:dyDescent="0.25">
      <c r="A620" s="348"/>
      <c r="B620" s="411" t="s">
        <v>1219</v>
      </c>
      <c r="C620" s="350"/>
      <c r="D620" s="450">
        <v>4</v>
      </c>
      <c r="E620" s="353" t="s">
        <v>46</v>
      </c>
      <c r="F620" s="350">
        <v>35500</v>
      </c>
      <c r="G620" s="352">
        <f>F620*D620</f>
        <v>142000</v>
      </c>
      <c r="I620" s="475"/>
    </row>
    <row r="621" spans="1:9" x14ac:dyDescent="0.25">
      <c r="A621" s="348"/>
      <c r="B621" s="411" t="s">
        <v>1220</v>
      </c>
      <c r="C621" s="350"/>
      <c r="D621" s="450">
        <v>4</v>
      </c>
      <c r="E621" s="353" t="s">
        <v>1042</v>
      </c>
      <c r="F621" s="350">
        <v>10000</v>
      </c>
      <c r="G621" s="352">
        <f>F621*D621</f>
        <v>40000</v>
      </c>
      <c r="I621" s="475"/>
    </row>
    <row r="622" spans="1:9" x14ac:dyDescent="0.25">
      <c r="A622" s="348"/>
      <c r="B622" s="411" t="s">
        <v>1221</v>
      </c>
      <c r="C622" s="350"/>
      <c r="D622" s="450">
        <v>1.8</v>
      </c>
      <c r="E622" s="353" t="s">
        <v>46</v>
      </c>
      <c r="F622" s="350">
        <v>125000</v>
      </c>
      <c r="G622" s="351">
        <f>F622*D622</f>
        <v>225000</v>
      </c>
      <c r="H622" s="352"/>
      <c r="I622" s="475"/>
    </row>
    <row r="623" spans="1:9" x14ac:dyDescent="0.25">
      <c r="A623" s="348"/>
      <c r="B623" s="411" t="s">
        <v>1222</v>
      </c>
      <c r="C623" s="350"/>
      <c r="D623" s="450">
        <v>7.6</v>
      </c>
      <c r="E623" s="353" t="s">
        <v>14</v>
      </c>
      <c r="F623" s="350">
        <v>8500</v>
      </c>
      <c r="G623" s="351">
        <f>F623*D623</f>
        <v>64600</v>
      </c>
      <c r="H623" s="352"/>
      <c r="I623" s="475"/>
    </row>
    <row r="624" spans="1:9" x14ac:dyDescent="0.25">
      <c r="A624" s="348"/>
      <c r="B624" s="411" t="s">
        <v>1223</v>
      </c>
      <c r="C624" s="350"/>
      <c r="D624" s="450">
        <v>49.6</v>
      </c>
      <c r="E624" s="353" t="s">
        <v>997</v>
      </c>
      <c r="F624" s="350">
        <v>1500</v>
      </c>
      <c r="G624" s="351">
        <f>F624*D624</f>
        <v>74400</v>
      </c>
      <c r="H624" s="352"/>
      <c r="I624" s="475"/>
    </row>
    <row r="625" spans="1:9" x14ac:dyDescent="0.25">
      <c r="A625" s="354"/>
      <c r="B625" s="412" t="s">
        <v>222</v>
      </c>
      <c r="C625" s="356"/>
      <c r="D625" s="451"/>
      <c r="E625" s="355"/>
      <c r="F625" s="356"/>
      <c r="G625" s="357">
        <f>SUM(G614:G624)</f>
        <v>2051010</v>
      </c>
      <c r="H625" s="357"/>
      <c r="I625" s="476">
        <f>G625+H625</f>
        <v>2051010</v>
      </c>
    </row>
    <row r="626" spans="1:9" x14ac:dyDescent="0.25">
      <c r="A626" s="358"/>
      <c r="B626" s="413" t="s">
        <v>229</v>
      </c>
      <c r="C626" s="360"/>
      <c r="D626" s="452"/>
      <c r="E626" s="359"/>
      <c r="F626" s="360"/>
      <c r="G626" s="361"/>
      <c r="H626" s="362"/>
      <c r="I626" s="477">
        <f>I625*0.15</f>
        <v>307651.5</v>
      </c>
    </row>
    <row r="627" spans="1:9" x14ac:dyDescent="0.25">
      <c r="A627" s="358"/>
      <c r="B627" s="413" t="s">
        <v>222</v>
      </c>
      <c r="C627" s="360"/>
      <c r="D627" s="453"/>
      <c r="E627" s="359"/>
      <c r="F627" s="360"/>
      <c r="G627" s="351"/>
      <c r="H627" s="362"/>
      <c r="I627" s="478">
        <f>I625+I626</f>
        <v>2358661.5</v>
      </c>
    </row>
    <row r="628" spans="1:9" x14ac:dyDescent="0.25">
      <c r="A628" s="363"/>
      <c r="B628" s="414" t="s">
        <v>230</v>
      </c>
      <c r="C628" s="365"/>
      <c r="D628" s="454"/>
      <c r="E628" s="364"/>
      <c r="F628" s="365"/>
      <c r="G628" s="366"/>
      <c r="H628" s="367"/>
      <c r="I628" s="479">
        <f>ROUNDUP(I627,-2)</f>
        <v>2358700</v>
      </c>
    </row>
    <row r="629" spans="1:9" x14ac:dyDescent="0.25">
      <c r="A629" s="258"/>
      <c r="B629" s="383"/>
      <c r="C629" s="261"/>
      <c r="D629" s="439"/>
      <c r="E629" s="259"/>
      <c r="F629" s="261"/>
      <c r="G629" s="262"/>
      <c r="H629" s="263"/>
      <c r="I629" s="457"/>
    </row>
    <row r="630" spans="1:9" x14ac:dyDescent="0.25">
      <c r="A630" s="258">
        <v>31</v>
      </c>
      <c r="B630" s="385" t="s">
        <v>125</v>
      </c>
      <c r="C630" s="261"/>
      <c r="D630" s="422">
        <v>1</v>
      </c>
      <c r="E630" s="265" t="s">
        <v>1224</v>
      </c>
      <c r="F630" s="261"/>
      <c r="G630" s="262"/>
      <c r="H630" s="263"/>
      <c r="I630" s="457"/>
    </row>
    <row r="631" spans="1:9" x14ac:dyDescent="0.25">
      <c r="A631" s="258"/>
      <c r="B631" s="408" t="s">
        <v>1227</v>
      </c>
      <c r="C631" s="261"/>
      <c r="D631" s="448">
        <v>1</v>
      </c>
      <c r="E631" s="345" t="s">
        <v>46</v>
      </c>
      <c r="F631" s="261">
        <v>1300000</v>
      </c>
      <c r="G631" s="263">
        <f>F631*D631</f>
        <v>1300000</v>
      </c>
      <c r="I631" s="457"/>
    </row>
    <row r="632" spans="1:9" x14ac:dyDescent="0.25">
      <c r="A632" s="258"/>
      <c r="B632" s="408" t="s">
        <v>1228</v>
      </c>
      <c r="C632" s="261"/>
      <c r="D632" s="448">
        <v>2.2000000000000002</v>
      </c>
      <c r="E632" s="345" t="s">
        <v>33</v>
      </c>
      <c r="F632" s="261">
        <v>95850</v>
      </c>
      <c r="G632" s="263">
        <f>F632*D632</f>
        <v>210870.00000000003</v>
      </c>
      <c r="I632" s="457"/>
    </row>
    <row r="633" spans="1:9" x14ac:dyDescent="0.25">
      <c r="A633" s="258"/>
      <c r="B633" s="408" t="s">
        <v>1217</v>
      </c>
      <c r="C633" s="261"/>
      <c r="D633" s="448">
        <v>12</v>
      </c>
      <c r="E633" s="345" t="s">
        <v>1075</v>
      </c>
      <c r="F633" s="261">
        <v>1100</v>
      </c>
      <c r="G633" s="263">
        <f>F633*D633</f>
        <v>13200</v>
      </c>
      <c r="I633" s="457"/>
    </row>
    <row r="634" spans="1:9" x14ac:dyDescent="0.25">
      <c r="A634" s="258"/>
      <c r="B634" s="408" t="s">
        <v>1230</v>
      </c>
      <c r="C634" s="261"/>
      <c r="D634" s="448">
        <v>0.5</v>
      </c>
      <c r="E634" s="345" t="s">
        <v>997</v>
      </c>
      <c r="F634" s="261">
        <v>1020000</v>
      </c>
      <c r="G634" s="263">
        <f>F634*D634</f>
        <v>510000</v>
      </c>
      <c r="I634" s="457"/>
    </row>
    <row r="635" spans="1:9" x14ac:dyDescent="0.25">
      <c r="A635" s="258"/>
      <c r="B635" s="408" t="s">
        <v>1231</v>
      </c>
      <c r="C635" s="261"/>
      <c r="D635" s="448">
        <v>1.25</v>
      </c>
      <c r="E635" s="345" t="s">
        <v>997</v>
      </c>
      <c r="F635" s="261">
        <v>15000</v>
      </c>
      <c r="G635" s="263">
        <f>F635*D635</f>
        <v>18750</v>
      </c>
      <c r="I635" s="457"/>
    </row>
    <row r="636" spans="1:9" x14ac:dyDescent="0.25">
      <c r="A636" s="258"/>
      <c r="B636" s="408" t="s">
        <v>1232</v>
      </c>
      <c r="C636" s="261"/>
      <c r="D636" s="448">
        <v>1</v>
      </c>
      <c r="E636" s="345" t="s">
        <v>997</v>
      </c>
      <c r="F636" s="261">
        <v>15000</v>
      </c>
      <c r="G636" s="263">
        <f>F636*D636</f>
        <v>15000</v>
      </c>
      <c r="I636" s="457"/>
    </row>
    <row r="637" spans="1:9" x14ac:dyDescent="0.25">
      <c r="A637" s="258"/>
      <c r="B637" s="408" t="s">
        <v>217</v>
      </c>
      <c r="C637" s="261"/>
      <c r="D637" s="448">
        <v>1.05</v>
      </c>
      <c r="E637" s="345" t="s">
        <v>1229</v>
      </c>
      <c r="F637" s="261">
        <f>VLOOKUP($B637,HSU!$B$6:$D$38,3,FALSE)</f>
        <v>70000</v>
      </c>
      <c r="G637" s="262">
        <f>F637*D637</f>
        <v>73500</v>
      </c>
      <c r="H637" s="263"/>
      <c r="I637" s="457"/>
    </row>
    <row r="638" spans="1:9" x14ac:dyDescent="0.25">
      <c r="A638" s="258"/>
      <c r="B638" s="408" t="s">
        <v>219</v>
      </c>
      <c r="C638" s="261"/>
      <c r="D638" s="448">
        <v>1.05</v>
      </c>
      <c r="E638" s="345" t="s">
        <v>1229</v>
      </c>
      <c r="F638" s="261">
        <f>VLOOKUP($B638,HSU!$B$6:$D$38,3,FALSE)</f>
        <v>80000</v>
      </c>
      <c r="G638" s="262">
        <f>F638*D638</f>
        <v>84000</v>
      </c>
      <c r="H638" s="263"/>
      <c r="I638" s="457"/>
    </row>
    <row r="639" spans="1:9" x14ac:dyDescent="0.25">
      <c r="A639" s="258"/>
      <c r="B639" s="408" t="s">
        <v>1119</v>
      </c>
      <c r="C639" s="261"/>
      <c r="D639" s="448">
        <v>0.105</v>
      </c>
      <c r="E639" s="345" t="s">
        <v>1229</v>
      </c>
      <c r="F639" s="261">
        <f>VLOOKUP($B639,HSU!$B$6:$D$38,3,FALSE)</f>
        <v>90000</v>
      </c>
      <c r="G639" s="262">
        <f>F639*D639</f>
        <v>9450</v>
      </c>
      <c r="H639" s="263"/>
      <c r="I639" s="457"/>
    </row>
    <row r="640" spans="1:9" x14ac:dyDescent="0.25">
      <c r="A640" s="258"/>
      <c r="B640" s="408" t="s">
        <v>220</v>
      </c>
      <c r="C640" s="261"/>
      <c r="D640" s="448">
        <v>5.1999999999999998E-3</v>
      </c>
      <c r="E640" s="345" t="s">
        <v>1229</v>
      </c>
      <c r="F640" s="261">
        <f>VLOOKUP($B640,HSU!$B$6:$D$38,3,FALSE)</f>
        <v>85000</v>
      </c>
      <c r="G640" s="262">
        <f>F640*D640</f>
        <v>442</v>
      </c>
      <c r="H640" s="263"/>
      <c r="I640" s="457"/>
    </row>
    <row r="641" spans="1:9" x14ac:dyDescent="0.25">
      <c r="A641" s="272"/>
      <c r="B641" s="388" t="s">
        <v>222</v>
      </c>
      <c r="C641" s="274"/>
      <c r="D641" s="424"/>
      <c r="E641" s="273"/>
      <c r="F641" s="274"/>
      <c r="G641" s="275">
        <f>SUM(G631:G640)</f>
        <v>2235212</v>
      </c>
      <c r="H641" s="275"/>
      <c r="I641" s="459">
        <f>G641+H641</f>
        <v>2235212</v>
      </c>
    </row>
    <row r="642" spans="1:9" x14ac:dyDescent="0.25">
      <c r="A642" s="277"/>
      <c r="B642" s="389" t="s">
        <v>229</v>
      </c>
      <c r="C642" s="279"/>
      <c r="D642" s="425"/>
      <c r="E642" s="278"/>
      <c r="F642" s="279"/>
      <c r="G642" s="280"/>
      <c r="H642" s="281"/>
      <c r="I642" s="460">
        <f>I641*0.15</f>
        <v>335281.8</v>
      </c>
    </row>
    <row r="643" spans="1:9" x14ac:dyDescent="0.25">
      <c r="A643" s="277"/>
      <c r="B643" s="389" t="s">
        <v>222</v>
      </c>
      <c r="C643" s="279"/>
      <c r="D643" s="426"/>
      <c r="E643" s="278"/>
      <c r="F643" s="279"/>
      <c r="G643" s="262"/>
      <c r="H643" s="281"/>
      <c r="I643" s="461">
        <f>I641+I642</f>
        <v>2570493.7999999998</v>
      </c>
    </row>
    <row r="644" spans="1:9" x14ac:dyDescent="0.25">
      <c r="A644" s="282"/>
      <c r="B644" s="390" t="s">
        <v>230</v>
      </c>
      <c r="C644" s="284"/>
      <c r="D644" s="427"/>
      <c r="E644" s="283"/>
      <c r="F644" s="284"/>
      <c r="G644" s="324"/>
      <c r="H644" s="325"/>
      <c r="I644" s="462">
        <f>ROUNDUP(I643,-2)</f>
        <v>2570500</v>
      </c>
    </row>
    <row r="645" spans="1:9" x14ac:dyDescent="0.25">
      <c r="A645" s="258"/>
      <c r="B645" s="383"/>
      <c r="C645" s="261"/>
      <c r="D645" s="439"/>
      <c r="E645" s="259"/>
      <c r="F645" s="261"/>
      <c r="G645" s="262"/>
      <c r="H645" s="263"/>
      <c r="I645" s="457"/>
    </row>
    <row r="646" spans="1:9" x14ac:dyDescent="0.25">
      <c r="A646" s="348">
        <v>31</v>
      </c>
      <c r="B646" s="410" t="s">
        <v>123</v>
      </c>
      <c r="C646" s="350"/>
      <c r="D646" s="449">
        <v>1</v>
      </c>
      <c r="E646" s="349" t="s">
        <v>1224</v>
      </c>
      <c r="F646" s="350"/>
      <c r="G646" s="351"/>
      <c r="H646" s="352"/>
      <c r="I646" s="475"/>
    </row>
    <row r="647" spans="1:9" x14ac:dyDescent="0.25">
      <c r="A647" s="348"/>
      <c r="B647" s="411" t="s">
        <v>1213</v>
      </c>
      <c r="C647" s="350"/>
      <c r="D647" s="450">
        <v>3.6</v>
      </c>
      <c r="E647" s="353" t="s">
        <v>997</v>
      </c>
      <c r="F647" s="350">
        <v>60000</v>
      </c>
      <c r="G647" s="352">
        <f>F647*D647</f>
        <v>216000</v>
      </c>
      <c r="I647" s="475"/>
    </row>
    <row r="648" spans="1:9" x14ac:dyDescent="0.25">
      <c r="A648" s="348"/>
      <c r="B648" s="411" t="s">
        <v>1214</v>
      </c>
      <c r="C648" s="350"/>
      <c r="D648" s="450">
        <v>17.600000000000001</v>
      </c>
      <c r="E648" s="353" t="s">
        <v>997</v>
      </c>
      <c r="F648" s="350">
        <v>51000</v>
      </c>
      <c r="G648" s="352">
        <f>F648*D648</f>
        <v>897600.00000000012</v>
      </c>
      <c r="I648" s="475"/>
    </row>
    <row r="649" spans="1:9" x14ac:dyDescent="0.25">
      <c r="A649" s="348"/>
      <c r="B649" s="411" t="s">
        <v>1215</v>
      </c>
      <c r="C649" s="350"/>
      <c r="D649" s="450">
        <v>7.2</v>
      </c>
      <c r="E649" s="353" t="s">
        <v>997</v>
      </c>
      <c r="F649" s="350">
        <v>8600</v>
      </c>
      <c r="G649" s="352">
        <f>F649*D649</f>
        <v>61920</v>
      </c>
      <c r="I649" s="475"/>
    </row>
    <row r="650" spans="1:9" x14ac:dyDescent="0.25">
      <c r="A650" s="348"/>
      <c r="B650" s="411" t="s">
        <v>1216</v>
      </c>
      <c r="C650" s="350"/>
      <c r="D650" s="450">
        <v>3.6</v>
      </c>
      <c r="E650" s="353" t="s">
        <v>997</v>
      </c>
      <c r="F650" s="350">
        <v>55000</v>
      </c>
      <c r="G650" s="352">
        <f>F650*D650</f>
        <v>198000</v>
      </c>
      <c r="I650" s="475"/>
    </row>
    <row r="651" spans="1:9" x14ac:dyDescent="0.25">
      <c r="A651" s="348"/>
      <c r="B651" s="411" t="s">
        <v>1217</v>
      </c>
      <c r="C651" s="350"/>
      <c r="D651" s="450">
        <v>37.200000000000003</v>
      </c>
      <c r="E651" s="353" t="s">
        <v>997</v>
      </c>
      <c r="F651" s="350">
        <v>1100</v>
      </c>
      <c r="G651" s="352">
        <f>F651*D651</f>
        <v>40920</v>
      </c>
      <c r="I651" s="475"/>
    </row>
    <row r="652" spans="1:9" x14ac:dyDescent="0.25">
      <c r="A652" s="348"/>
      <c r="B652" s="411" t="s">
        <v>1218</v>
      </c>
      <c r="C652" s="350"/>
      <c r="D652" s="450">
        <v>8</v>
      </c>
      <c r="E652" s="353" t="s">
        <v>14</v>
      </c>
      <c r="F652" s="350">
        <v>85000</v>
      </c>
      <c r="G652" s="352">
        <f>F652*D652</f>
        <v>680000</v>
      </c>
      <c r="I652" s="475"/>
    </row>
    <row r="653" spans="1:9" x14ac:dyDescent="0.25">
      <c r="A653" s="348"/>
      <c r="B653" s="411" t="s">
        <v>1219</v>
      </c>
      <c r="C653" s="350"/>
      <c r="D653" s="450">
        <v>4</v>
      </c>
      <c r="E653" s="353" t="s">
        <v>46</v>
      </c>
      <c r="F653" s="350">
        <v>35500</v>
      </c>
      <c r="G653" s="352">
        <f>F653*D653</f>
        <v>142000</v>
      </c>
      <c r="I653" s="475"/>
    </row>
    <row r="654" spans="1:9" x14ac:dyDescent="0.25">
      <c r="A654" s="348"/>
      <c r="B654" s="411" t="s">
        <v>1220</v>
      </c>
      <c r="C654" s="350"/>
      <c r="D654" s="450">
        <v>4</v>
      </c>
      <c r="E654" s="353" t="s">
        <v>1042</v>
      </c>
      <c r="F654" s="350">
        <v>10000</v>
      </c>
      <c r="G654" s="352">
        <f>F654*D654</f>
        <v>40000</v>
      </c>
      <c r="I654" s="475"/>
    </row>
    <row r="655" spans="1:9" x14ac:dyDescent="0.25">
      <c r="A655" s="348"/>
      <c r="B655" s="411" t="s">
        <v>1221</v>
      </c>
      <c r="C655" s="350"/>
      <c r="D655" s="450">
        <v>1.8</v>
      </c>
      <c r="E655" s="353" t="s">
        <v>46</v>
      </c>
      <c r="F655" s="350">
        <v>125000</v>
      </c>
      <c r="G655" s="351">
        <f>F655*D655</f>
        <v>225000</v>
      </c>
      <c r="H655" s="352"/>
      <c r="I655" s="475"/>
    </row>
    <row r="656" spans="1:9" x14ac:dyDescent="0.25">
      <c r="A656" s="348"/>
      <c r="B656" s="411" t="s">
        <v>1222</v>
      </c>
      <c r="C656" s="350"/>
      <c r="D656" s="450">
        <v>7.6</v>
      </c>
      <c r="E656" s="353" t="s">
        <v>14</v>
      </c>
      <c r="F656" s="350">
        <v>8500</v>
      </c>
      <c r="G656" s="351">
        <f>F656*D656</f>
        <v>64600</v>
      </c>
      <c r="H656" s="352"/>
      <c r="I656" s="475"/>
    </row>
    <row r="657" spans="1:9" x14ac:dyDescent="0.25">
      <c r="A657" s="348"/>
      <c r="B657" s="411" t="s">
        <v>1223</v>
      </c>
      <c r="C657" s="350"/>
      <c r="D657" s="450">
        <v>49.6</v>
      </c>
      <c r="E657" s="353" t="s">
        <v>997</v>
      </c>
      <c r="F657" s="350">
        <v>1500</v>
      </c>
      <c r="G657" s="351">
        <f>F657*D657</f>
        <v>74400</v>
      </c>
      <c r="H657" s="352"/>
      <c r="I657" s="475"/>
    </row>
    <row r="658" spans="1:9" x14ac:dyDescent="0.25">
      <c r="A658" s="354"/>
      <c r="B658" s="412" t="s">
        <v>222</v>
      </c>
      <c r="C658" s="356"/>
      <c r="D658" s="451"/>
      <c r="E658" s="355"/>
      <c r="F658" s="356"/>
      <c r="G658" s="357">
        <f>SUM(G647:G657)</f>
        <v>2640440</v>
      </c>
      <c r="H658" s="357"/>
      <c r="I658" s="476">
        <f>G658+H658</f>
        <v>2640440</v>
      </c>
    </row>
    <row r="659" spans="1:9" x14ac:dyDescent="0.25">
      <c r="A659" s="358"/>
      <c r="B659" s="413" t="s">
        <v>229</v>
      </c>
      <c r="C659" s="360"/>
      <c r="D659" s="452"/>
      <c r="E659" s="359"/>
      <c r="F659" s="360"/>
      <c r="G659" s="361"/>
      <c r="H659" s="362"/>
      <c r="I659" s="477">
        <f>I658*0.15</f>
        <v>396066</v>
      </c>
    </row>
    <row r="660" spans="1:9" x14ac:dyDescent="0.25">
      <c r="A660" s="358"/>
      <c r="B660" s="413" t="s">
        <v>222</v>
      </c>
      <c r="C660" s="360"/>
      <c r="D660" s="453"/>
      <c r="E660" s="359"/>
      <c r="F660" s="360"/>
      <c r="G660" s="351"/>
      <c r="H660" s="362"/>
      <c r="I660" s="478">
        <f>I658+I659</f>
        <v>3036506</v>
      </c>
    </row>
    <row r="661" spans="1:9" x14ac:dyDescent="0.25">
      <c r="A661" s="363"/>
      <c r="B661" s="414" t="s">
        <v>230</v>
      </c>
      <c r="C661" s="365"/>
      <c r="D661" s="454"/>
      <c r="E661" s="364"/>
      <c r="F661" s="365"/>
      <c r="G661" s="366"/>
      <c r="H661" s="367"/>
      <c r="I661" s="479">
        <f>ROUNDUP(I660,-2)</f>
        <v>3036600</v>
      </c>
    </row>
    <row r="662" spans="1:9" x14ac:dyDescent="0.25">
      <c r="A662" s="258"/>
      <c r="B662" s="383"/>
      <c r="C662" s="261"/>
      <c r="D662" s="439"/>
      <c r="E662" s="259"/>
      <c r="F662" s="261"/>
      <c r="G662" s="262"/>
      <c r="H662" s="263"/>
      <c r="I662" s="457"/>
    </row>
    <row r="663" spans="1:9" x14ac:dyDescent="0.25">
      <c r="A663" s="258">
        <v>31</v>
      </c>
      <c r="B663" s="385" t="s">
        <v>71</v>
      </c>
      <c r="C663" s="261"/>
      <c r="D663" s="422">
        <v>1</v>
      </c>
      <c r="E663" s="265" t="s">
        <v>1224</v>
      </c>
      <c r="F663" s="261"/>
      <c r="G663" s="262"/>
      <c r="H663" s="263"/>
      <c r="I663" s="457"/>
    </row>
    <row r="664" spans="1:9" x14ac:dyDescent="0.25">
      <c r="A664" s="258"/>
      <c r="B664" s="408" t="s">
        <v>1230</v>
      </c>
      <c r="C664" s="261"/>
      <c r="D664" s="448">
        <v>1.1000000000000001</v>
      </c>
      <c r="E664" s="345" t="s">
        <v>20</v>
      </c>
      <c r="F664" s="261">
        <v>1020000</v>
      </c>
      <c r="G664" s="263">
        <f>F664*D664</f>
        <v>1122000</v>
      </c>
      <c r="I664" s="457"/>
    </row>
    <row r="665" spans="1:9" x14ac:dyDescent="0.25">
      <c r="A665" s="258"/>
      <c r="B665" s="408" t="s">
        <v>1231</v>
      </c>
      <c r="C665" s="261"/>
      <c r="D665" s="448">
        <v>1.25</v>
      </c>
      <c r="E665" s="345" t="s">
        <v>38</v>
      </c>
      <c r="F665" s="261">
        <v>15000</v>
      </c>
      <c r="G665" s="263">
        <f>F665*D665</f>
        <v>18750</v>
      </c>
      <c r="I665" s="457"/>
    </row>
    <row r="666" spans="1:9" x14ac:dyDescent="0.25">
      <c r="A666" s="258"/>
      <c r="B666" s="408" t="s">
        <v>1232</v>
      </c>
      <c r="C666" s="261"/>
      <c r="D666" s="448">
        <v>1</v>
      </c>
      <c r="E666" s="345" t="s">
        <v>38</v>
      </c>
      <c r="F666" s="261">
        <v>15000</v>
      </c>
      <c r="G666" s="263">
        <f>F666*D666</f>
        <v>15000</v>
      </c>
      <c r="I666" s="457"/>
    </row>
    <row r="667" spans="1:9" x14ac:dyDescent="0.25">
      <c r="A667" s="258"/>
      <c r="B667" s="408" t="s">
        <v>1218</v>
      </c>
      <c r="C667" s="261"/>
      <c r="D667" s="448">
        <v>2</v>
      </c>
      <c r="E667" s="345" t="s">
        <v>14</v>
      </c>
      <c r="F667" s="261">
        <v>85000</v>
      </c>
      <c r="G667" s="263">
        <f>F667*D667</f>
        <v>170000</v>
      </c>
      <c r="I667" s="457"/>
    </row>
    <row r="668" spans="1:9" x14ac:dyDescent="0.25">
      <c r="A668" s="258"/>
      <c r="B668" s="408" t="s">
        <v>1233</v>
      </c>
      <c r="C668" s="261"/>
      <c r="D668" s="448">
        <v>4.4000000000000004</v>
      </c>
      <c r="E668" s="345" t="s">
        <v>997</v>
      </c>
      <c r="F668" s="261">
        <v>51000</v>
      </c>
      <c r="G668" s="263">
        <f>F668*D668</f>
        <v>224400.00000000003</v>
      </c>
      <c r="I668" s="457"/>
    </row>
    <row r="669" spans="1:9" x14ac:dyDescent="0.25">
      <c r="A669" s="258"/>
      <c r="B669" s="408" t="s">
        <v>1217</v>
      </c>
      <c r="C669" s="261"/>
      <c r="D669" s="448">
        <v>12.4</v>
      </c>
      <c r="E669" s="345" t="s">
        <v>997</v>
      </c>
      <c r="F669" s="261">
        <v>1100</v>
      </c>
      <c r="G669" s="263">
        <f>F669*D669</f>
        <v>13640</v>
      </c>
      <c r="I669" s="457"/>
    </row>
    <row r="670" spans="1:9" x14ac:dyDescent="0.25">
      <c r="A670" s="258"/>
      <c r="B670" s="408" t="s">
        <v>217</v>
      </c>
      <c r="C670" s="261"/>
      <c r="D670" s="448">
        <v>7</v>
      </c>
      <c r="E670" s="345" t="s">
        <v>1229</v>
      </c>
      <c r="F670" s="261">
        <f>VLOOKUP($B670,HSU!$B$6:$D$38,3,FALSE)</f>
        <v>70000</v>
      </c>
      <c r="G670" s="262">
        <f>F670*D670</f>
        <v>490000</v>
      </c>
      <c r="H670" s="263"/>
      <c r="I670" s="457"/>
    </row>
    <row r="671" spans="1:9" x14ac:dyDescent="0.25">
      <c r="A671" s="258"/>
      <c r="B671" s="408" t="s">
        <v>1234</v>
      </c>
      <c r="C671" s="261"/>
      <c r="D671" s="448">
        <v>21</v>
      </c>
      <c r="E671" s="345" t="s">
        <v>1229</v>
      </c>
      <c r="F671" s="261">
        <f>VLOOKUP($B671,HSU!$B$6:$D$38,3,FALSE)</f>
        <v>85000</v>
      </c>
      <c r="G671" s="262">
        <f>F671*D671</f>
        <v>1785000</v>
      </c>
      <c r="H671" s="263"/>
      <c r="I671" s="457"/>
    </row>
    <row r="672" spans="1:9" x14ac:dyDescent="0.25">
      <c r="A672" s="258"/>
      <c r="B672" s="408" t="s">
        <v>1235</v>
      </c>
      <c r="C672" s="261"/>
      <c r="D672" s="448">
        <v>2.1</v>
      </c>
      <c r="E672" s="345" t="s">
        <v>1229</v>
      </c>
      <c r="F672" s="261">
        <f>VLOOKUP($B672,HSU!$B$6:$D$38,3,FALSE)</f>
        <v>90000</v>
      </c>
      <c r="G672" s="262">
        <f>F672*D672</f>
        <v>189000</v>
      </c>
      <c r="H672" s="263"/>
      <c r="I672" s="457"/>
    </row>
    <row r="673" spans="1:9" x14ac:dyDescent="0.25">
      <c r="A673" s="258"/>
      <c r="B673" s="408" t="s">
        <v>220</v>
      </c>
      <c r="C673" s="261"/>
      <c r="D673" s="448">
        <v>0.35</v>
      </c>
      <c r="E673" s="345" t="s">
        <v>1229</v>
      </c>
      <c r="F673" s="261">
        <f>VLOOKUP($B673,HSU!$B$6:$D$38,3,FALSE)</f>
        <v>85000</v>
      </c>
      <c r="G673" s="262">
        <f>F673*D673</f>
        <v>29749.999999999996</v>
      </c>
      <c r="H673" s="263"/>
      <c r="I673" s="457"/>
    </row>
    <row r="674" spans="1:9" x14ac:dyDescent="0.25">
      <c r="A674" s="272"/>
      <c r="B674" s="388" t="s">
        <v>222</v>
      </c>
      <c r="C674" s="274"/>
      <c r="D674" s="424"/>
      <c r="E674" s="273"/>
      <c r="F674" s="274"/>
      <c r="G674" s="275">
        <f>SUM(G664:G673)</f>
        <v>4057540</v>
      </c>
      <c r="H674" s="275"/>
      <c r="I674" s="459">
        <f>G674+H674</f>
        <v>4057540</v>
      </c>
    </row>
    <row r="675" spans="1:9" x14ac:dyDescent="0.25">
      <c r="A675" s="277"/>
      <c r="B675" s="389" t="s">
        <v>229</v>
      </c>
      <c r="C675" s="279"/>
      <c r="D675" s="425"/>
      <c r="E675" s="278"/>
      <c r="F675" s="279"/>
      <c r="G675" s="280"/>
      <c r="H675" s="281"/>
      <c r="I675" s="460">
        <f>I674*0.15</f>
        <v>608631</v>
      </c>
    </row>
    <row r="676" spans="1:9" x14ac:dyDescent="0.25">
      <c r="A676" s="277"/>
      <c r="B676" s="389" t="s">
        <v>222</v>
      </c>
      <c r="C676" s="279"/>
      <c r="D676" s="426"/>
      <c r="E676" s="278"/>
      <c r="F676" s="279"/>
      <c r="G676" s="262"/>
      <c r="H676" s="281"/>
      <c r="I676" s="461">
        <f>I674+I675</f>
        <v>4666171</v>
      </c>
    </row>
    <row r="677" spans="1:9" x14ac:dyDescent="0.25">
      <c r="A677" s="282"/>
      <c r="B677" s="390" t="s">
        <v>230</v>
      </c>
      <c r="C677" s="284"/>
      <c r="D677" s="427"/>
      <c r="E677" s="283"/>
      <c r="F677" s="284"/>
      <c r="G677" s="324"/>
      <c r="H677" s="325"/>
      <c r="I677" s="462">
        <f>ROUNDUP(I676,-2)</f>
        <v>4666200</v>
      </c>
    </row>
    <row r="678" spans="1:9" x14ac:dyDescent="0.25">
      <c r="A678" s="258"/>
      <c r="B678" s="383"/>
      <c r="C678" s="261"/>
      <c r="D678" s="439"/>
      <c r="E678" s="259"/>
      <c r="F678" s="261"/>
      <c r="G678" s="262"/>
      <c r="H678" s="263"/>
      <c r="I678" s="457"/>
    </row>
    <row r="679" spans="1:9" x14ac:dyDescent="0.25">
      <c r="A679" s="258">
        <v>31</v>
      </c>
      <c r="B679" s="385" t="s">
        <v>72</v>
      </c>
      <c r="C679" s="261"/>
      <c r="D679" s="422">
        <v>1</v>
      </c>
      <c r="E679" s="265" t="s">
        <v>1224</v>
      </c>
      <c r="F679" s="261"/>
      <c r="G679" s="262"/>
      <c r="H679" s="263"/>
      <c r="I679" s="457"/>
    </row>
    <row r="680" spans="1:9" x14ac:dyDescent="0.25">
      <c r="A680" s="258"/>
      <c r="B680" s="408" t="s">
        <v>1213</v>
      </c>
      <c r="C680" s="261"/>
      <c r="D680" s="448">
        <v>0.9</v>
      </c>
      <c r="E680" s="345" t="s">
        <v>997</v>
      </c>
      <c r="F680" s="261">
        <v>60000</v>
      </c>
      <c r="G680" s="263">
        <f>F680*D680</f>
        <v>54000</v>
      </c>
      <c r="I680" s="457"/>
    </row>
    <row r="681" spans="1:9" x14ac:dyDescent="0.25">
      <c r="A681" s="258"/>
      <c r="B681" s="408" t="s">
        <v>1214</v>
      </c>
      <c r="C681" s="261"/>
      <c r="D681" s="448">
        <v>4.4000000000000004</v>
      </c>
      <c r="E681" s="345" t="s">
        <v>997</v>
      </c>
      <c r="F681" s="261">
        <v>51000</v>
      </c>
      <c r="G681" s="263">
        <f>F681*D681</f>
        <v>224400.00000000003</v>
      </c>
      <c r="I681" s="457"/>
    </row>
    <row r="682" spans="1:9" x14ac:dyDescent="0.25">
      <c r="A682" s="258"/>
      <c r="B682" s="408" t="s">
        <v>1215</v>
      </c>
      <c r="C682" s="261"/>
      <c r="D682" s="448">
        <v>1.8</v>
      </c>
      <c r="E682" s="345" t="s">
        <v>997</v>
      </c>
      <c r="F682" s="261">
        <v>8600</v>
      </c>
      <c r="G682" s="263">
        <f>F682*D682</f>
        <v>15480</v>
      </c>
      <c r="I682" s="457"/>
    </row>
    <row r="683" spans="1:9" x14ac:dyDescent="0.25">
      <c r="A683" s="258"/>
      <c r="B683" s="408" t="s">
        <v>1216</v>
      </c>
      <c r="C683" s="261"/>
      <c r="D683" s="448">
        <v>0.9</v>
      </c>
      <c r="E683" s="345" t="s">
        <v>14</v>
      </c>
      <c r="F683" s="261">
        <v>55000</v>
      </c>
      <c r="G683" s="263">
        <f>F683*D683</f>
        <v>49500</v>
      </c>
      <c r="I683" s="457"/>
    </row>
    <row r="684" spans="1:9" x14ac:dyDescent="0.25">
      <c r="A684" s="258"/>
      <c r="B684" s="408" t="s">
        <v>1217</v>
      </c>
      <c r="C684" s="261"/>
      <c r="D684" s="448">
        <v>12.4</v>
      </c>
      <c r="E684" s="345" t="s">
        <v>997</v>
      </c>
      <c r="F684" s="261">
        <v>1100</v>
      </c>
      <c r="G684" s="263">
        <f>F684*D684</f>
        <v>13640</v>
      </c>
      <c r="I684" s="457"/>
    </row>
    <row r="685" spans="1:9" x14ac:dyDescent="0.25">
      <c r="A685" s="258"/>
      <c r="B685" s="408" t="s">
        <v>1218</v>
      </c>
      <c r="C685" s="261"/>
      <c r="D685" s="448">
        <v>2</v>
      </c>
      <c r="E685" s="345" t="s">
        <v>14</v>
      </c>
      <c r="F685" s="261">
        <v>85000</v>
      </c>
      <c r="G685" s="263">
        <f>F685*D685</f>
        <v>170000</v>
      </c>
      <c r="I685" s="457"/>
    </row>
    <row r="686" spans="1:9" x14ac:dyDescent="0.25">
      <c r="A686" s="258"/>
      <c r="B686" s="408" t="s">
        <v>1219</v>
      </c>
      <c r="C686" s="261"/>
      <c r="D686" s="448">
        <v>1</v>
      </c>
      <c r="E686" s="345" t="s">
        <v>46</v>
      </c>
      <c r="F686" s="261">
        <v>35500</v>
      </c>
      <c r="G686" s="263">
        <f>F686*D686</f>
        <v>35500</v>
      </c>
      <c r="I686" s="457"/>
    </row>
    <row r="687" spans="1:9" x14ac:dyDescent="0.25">
      <c r="A687" s="258"/>
      <c r="B687" s="408" t="s">
        <v>1220</v>
      </c>
      <c r="C687" s="261"/>
      <c r="D687" s="448">
        <v>1</v>
      </c>
      <c r="E687" s="345" t="s">
        <v>1042</v>
      </c>
      <c r="F687" s="261">
        <v>10000</v>
      </c>
      <c r="G687" s="263">
        <f>F687*D687</f>
        <v>10000</v>
      </c>
      <c r="I687" s="457"/>
    </row>
    <row r="688" spans="1:9" x14ac:dyDescent="0.25">
      <c r="A688" s="258"/>
      <c r="B688" s="408" t="s">
        <v>1221</v>
      </c>
      <c r="C688" s="261"/>
      <c r="D688" s="448">
        <v>1</v>
      </c>
      <c r="E688" s="345" t="s">
        <v>46</v>
      </c>
      <c r="F688" s="261">
        <v>125000</v>
      </c>
      <c r="G688" s="262">
        <f>F688*D688</f>
        <v>125000</v>
      </c>
      <c r="H688" s="263"/>
      <c r="I688" s="457"/>
    </row>
    <row r="689" spans="1:9" x14ac:dyDescent="0.25">
      <c r="A689" s="258"/>
      <c r="B689" s="408" t="s">
        <v>1222</v>
      </c>
      <c r="C689" s="261"/>
      <c r="D689" s="448">
        <v>1.9</v>
      </c>
      <c r="E689" s="345" t="s">
        <v>14</v>
      </c>
      <c r="F689" s="261">
        <v>8500</v>
      </c>
      <c r="G689" s="262">
        <f>F689*D689</f>
        <v>16150</v>
      </c>
      <c r="H689" s="263"/>
      <c r="I689" s="457"/>
    </row>
    <row r="690" spans="1:9" x14ac:dyDescent="0.25">
      <c r="A690" s="258"/>
      <c r="B690" s="408" t="s">
        <v>1223</v>
      </c>
      <c r="C690" s="261"/>
      <c r="D690" s="448">
        <v>12.4</v>
      </c>
      <c r="E690" s="345" t="s">
        <v>997</v>
      </c>
      <c r="F690" s="261">
        <v>1500</v>
      </c>
      <c r="G690" s="262">
        <f>F690*D690</f>
        <v>18600</v>
      </c>
      <c r="H690" s="263"/>
      <c r="I690" s="457"/>
    </row>
    <row r="691" spans="1:9" x14ac:dyDescent="0.25">
      <c r="A691" s="272"/>
      <c r="B691" s="388" t="s">
        <v>222</v>
      </c>
      <c r="C691" s="274"/>
      <c r="D691" s="424"/>
      <c r="E691" s="273"/>
      <c r="F691" s="274"/>
      <c r="G691" s="275">
        <f>SUM(G680:G690)</f>
        <v>732270</v>
      </c>
      <c r="H691" s="275"/>
      <c r="I691" s="459">
        <f>G691+H691</f>
        <v>732270</v>
      </c>
    </row>
    <row r="692" spans="1:9" x14ac:dyDescent="0.25">
      <c r="A692" s="277"/>
      <c r="B692" s="389" t="s">
        <v>229</v>
      </c>
      <c r="C692" s="279"/>
      <c r="D692" s="425"/>
      <c r="E692" s="278"/>
      <c r="F692" s="279"/>
      <c r="G692" s="280"/>
      <c r="H692" s="281"/>
      <c r="I692" s="460">
        <f>I691*0.15</f>
        <v>109840.5</v>
      </c>
    </row>
    <row r="693" spans="1:9" x14ac:dyDescent="0.25">
      <c r="A693" s="277"/>
      <c r="B693" s="389" t="s">
        <v>222</v>
      </c>
      <c r="C693" s="279"/>
      <c r="D693" s="426"/>
      <c r="E693" s="278"/>
      <c r="F693" s="279"/>
      <c r="G693" s="262"/>
      <c r="H693" s="281"/>
      <c r="I693" s="461">
        <f>I691+I692</f>
        <v>842110.5</v>
      </c>
    </row>
    <row r="694" spans="1:9" x14ac:dyDescent="0.25">
      <c r="A694" s="282"/>
      <c r="B694" s="390" t="s">
        <v>230</v>
      </c>
      <c r="C694" s="284"/>
      <c r="D694" s="427"/>
      <c r="E694" s="283"/>
      <c r="F694" s="284"/>
      <c r="G694" s="324"/>
      <c r="H694" s="325"/>
      <c r="I694" s="462">
        <f>ROUNDUP(I693,-2)</f>
        <v>842200</v>
      </c>
    </row>
    <row r="695" spans="1:9" x14ac:dyDescent="0.25">
      <c r="A695" s="268"/>
      <c r="B695" s="397"/>
      <c r="C695" s="328"/>
      <c r="D695" s="440"/>
      <c r="E695" s="269"/>
      <c r="F695" s="328"/>
      <c r="G695" s="329"/>
      <c r="H695" s="271"/>
      <c r="I695" s="474"/>
    </row>
    <row r="696" spans="1:9" x14ac:dyDescent="0.25">
      <c r="A696" s="258">
        <v>31</v>
      </c>
      <c r="B696" s="385" t="s">
        <v>73</v>
      </c>
      <c r="C696" s="261"/>
      <c r="D696" s="422">
        <v>1</v>
      </c>
      <c r="E696" s="265" t="s">
        <v>1224</v>
      </c>
      <c r="F696" s="261"/>
      <c r="G696" s="262"/>
      <c r="H696" s="263"/>
      <c r="I696" s="457"/>
    </row>
    <row r="697" spans="1:9" x14ac:dyDescent="0.25">
      <c r="A697" s="258"/>
      <c r="B697" s="408" t="s">
        <v>1213</v>
      </c>
      <c r="C697" s="261"/>
      <c r="D697" s="448">
        <v>0.9</v>
      </c>
      <c r="E697" s="345" t="s">
        <v>997</v>
      </c>
      <c r="F697" s="261">
        <v>60000</v>
      </c>
      <c r="G697" s="263">
        <f>F697*D697</f>
        <v>54000</v>
      </c>
      <c r="I697" s="457"/>
    </row>
    <row r="698" spans="1:9" x14ac:dyDescent="0.25">
      <c r="A698" s="258"/>
      <c r="B698" s="408" t="s">
        <v>1214</v>
      </c>
      <c r="C698" s="261"/>
      <c r="D698" s="448">
        <v>4</v>
      </c>
      <c r="E698" s="345" t="s">
        <v>997</v>
      </c>
      <c r="F698" s="261">
        <v>51000</v>
      </c>
      <c r="G698" s="263">
        <f>F698*D698</f>
        <v>204000</v>
      </c>
      <c r="I698" s="457"/>
    </row>
    <row r="699" spans="1:9" x14ac:dyDescent="0.25">
      <c r="A699" s="258"/>
      <c r="B699" s="408" t="s">
        <v>1215</v>
      </c>
      <c r="C699" s="261"/>
      <c r="D699" s="448">
        <v>1.5</v>
      </c>
      <c r="E699" s="345" t="s">
        <v>997</v>
      </c>
      <c r="F699" s="261">
        <v>8600</v>
      </c>
      <c r="G699" s="263">
        <f>F699*D699</f>
        <v>12900</v>
      </c>
      <c r="I699" s="457"/>
    </row>
    <row r="700" spans="1:9" x14ac:dyDescent="0.25">
      <c r="A700" s="258"/>
      <c r="B700" s="408" t="s">
        <v>1216</v>
      </c>
      <c r="C700" s="261"/>
      <c r="D700" s="448">
        <v>0.9</v>
      </c>
      <c r="E700" s="345" t="s">
        <v>14</v>
      </c>
      <c r="F700" s="261">
        <v>55000</v>
      </c>
      <c r="G700" s="263">
        <f>F700*D700</f>
        <v>49500</v>
      </c>
      <c r="I700" s="457"/>
    </row>
    <row r="701" spans="1:9" x14ac:dyDescent="0.25">
      <c r="A701" s="258"/>
      <c r="B701" s="408" t="s">
        <v>1217</v>
      </c>
      <c r="C701" s="261"/>
      <c r="D701" s="448">
        <v>12</v>
      </c>
      <c r="E701" s="345" t="s">
        <v>997</v>
      </c>
      <c r="F701" s="261">
        <v>1100</v>
      </c>
      <c r="G701" s="263">
        <f>F701*D701</f>
        <v>13200</v>
      </c>
      <c r="I701" s="457"/>
    </row>
    <row r="702" spans="1:9" x14ac:dyDescent="0.25">
      <c r="A702" s="258"/>
      <c r="B702" s="408" t="s">
        <v>1218</v>
      </c>
      <c r="C702" s="261"/>
      <c r="D702" s="448">
        <v>2</v>
      </c>
      <c r="E702" s="345" t="s">
        <v>14</v>
      </c>
      <c r="F702" s="261">
        <v>85000</v>
      </c>
      <c r="G702" s="263">
        <f>F702*D702</f>
        <v>170000</v>
      </c>
      <c r="I702" s="457"/>
    </row>
    <row r="703" spans="1:9" x14ac:dyDescent="0.25">
      <c r="A703" s="258"/>
      <c r="B703" s="408" t="s">
        <v>1219</v>
      </c>
      <c r="C703" s="261"/>
      <c r="D703" s="448">
        <v>1</v>
      </c>
      <c r="E703" s="345" t="s">
        <v>46</v>
      </c>
      <c r="F703" s="261">
        <v>35500</v>
      </c>
      <c r="G703" s="263">
        <f>F703*D703</f>
        <v>35500</v>
      </c>
      <c r="I703" s="457"/>
    </row>
    <row r="704" spans="1:9" x14ac:dyDescent="0.25">
      <c r="A704" s="258"/>
      <c r="B704" s="408" t="s">
        <v>1220</v>
      </c>
      <c r="C704" s="261"/>
      <c r="D704" s="448">
        <v>1</v>
      </c>
      <c r="E704" s="345" t="s">
        <v>1042</v>
      </c>
      <c r="F704" s="261">
        <v>10000</v>
      </c>
      <c r="G704" s="263">
        <f>F704*D704</f>
        <v>10000</v>
      </c>
      <c r="I704" s="457"/>
    </row>
    <row r="705" spans="1:9" x14ac:dyDescent="0.25">
      <c r="A705" s="258"/>
      <c r="B705" s="408" t="s">
        <v>1221</v>
      </c>
      <c r="C705" s="261"/>
      <c r="D705" s="448">
        <v>1</v>
      </c>
      <c r="E705" s="345" t="s">
        <v>46</v>
      </c>
      <c r="F705" s="261">
        <v>125000</v>
      </c>
      <c r="G705" s="262">
        <f>F705*D705</f>
        <v>125000</v>
      </c>
      <c r="H705" s="263"/>
      <c r="I705" s="457"/>
    </row>
    <row r="706" spans="1:9" x14ac:dyDescent="0.25">
      <c r="A706" s="258"/>
      <c r="B706" s="408" t="s">
        <v>1222</v>
      </c>
      <c r="C706" s="261"/>
      <c r="D706" s="448">
        <v>1.9</v>
      </c>
      <c r="E706" s="345" t="s">
        <v>14</v>
      </c>
      <c r="F706" s="261">
        <v>8500</v>
      </c>
      <c r="G706" s="262">
        <f>F706*D706</f>
        <v>16150</v>
      </c>
      <c r="H706" s="263"/>
      <c r="I706" s="457"/>
    </row>
    <row r="707" spans="1:9" x14ac:dyDescent="0.25">
      <c r="A707" s="258"/>
      <c r="B707" s="408" t="s">
        <v>1223</v>
      </c>
      <c r="C707" s="261"/>
      <c r="D707" s="448">
        <v>12</v>
      </c>
      <c r="E707" s="345" t="s">
        <v>997</v>
      </c>
      <c r="F707" s="261">
        <v>1500</v>
      </c>
      <c r="G707" s="262">
        <f>F707*D707</f>
        <v>18000</v>
      </c>
      <c r="H707" s="263"/>
      <c r="I707" s="457"/>
    </row>
    <row r="708" spans="1:9" x14ac:dyDescent="0.25">
      <c r="A708" s="272"/>
      <c r="B708" s="388" t="s">
        <v>222</v>
      </c>
      <c r="C708" s="274"/>
      <c r="D708" s="424"/>
      <c r="E708" s="273"/>
      <c r="F708" s="274"/>
      <c r="G708" s="275">
        <f>SUM(G697:G707)</f>
        <v>708250</v>
      </c>
      <c r="H708" s="275"/>
      <c r="I708" s="459">
        <f>G708+H708</f>
        <v>708250</v>
      </c>
    </row>
    <row r="709" spans="1:9" x14ac:dyDescent="0.25">
      <c r="A709" s="277"/>
      <c r="B709" s="389" t="s">
        <v>229</v>
      </c>
      <c r="C709" s="279"/>
      <c r="D709" s="425"/>
      <c r="E709" s="278"/>
      <c r="F709" s="279"/>
      <c r="G709" s="280"/>
      <c r="H709" s="281"/>
      <c r="I709" s="460">
        <f>I708*0.15</f>
        <v>106237.5</v>
      </c>
    </row>
    <row r="710" spans="1:9" x14ac:dyDescent="0.25">
      <c r="A710" s="277"/>
      <c r="B710" s="389" t="s">
        <v>222</v>
      </c>
      <c r="C710" s="279"/>
      <c r="D710" s="426"/>
      <c r="E710" s="278"/>
      <c r="F710" s="279"/>
      <c r="G710" s="262"/>
      <c r="H710" s="281"/>
      <c r="I710" s="461">
        <f>I708+I709</f>
        <v>814487.5</v>
      </c>
    </row>
    <row r="711" spans="1:9" x14ac:dyDescent="0.25">
      <c r="A711" s="282"/>
      <c r="B711" s="390" t="s">
        <v>230</v>
      </c>
      <c r="C711" s="284"/>
      <c r="D711" s="427"/>
      <c r="E711" s="283"/>
      <c r="F711" s="284"/>
      <c r="G711" s="324"/>
      <c r="H711" s="325"/>
      <c r="I711" s="462">
        <f>ROUNDUP(I710,-2)</f>
        <v>814500</v>
      </c>
    </row>
    <row r="712" spans="1:9" x14ac:dyDescent="0.25">
      <c r="A712" s="258"/>
      <c r="B712" s="383"/>
      <c r="C712" s="261"/>
      <c r="D712" s="439"/>
      <c r="E712" s="259"/>
      <c r="F712" s="261"/>
      <c r="G712" s="262"/>
      <c r="H712" s="263"/>
      <c r="I712" s="457"/>
    </row>
    <row r="713" spans="1:9" x14ac:dyDescent="0.25">
      <c r="A713" s="258">
        <v>31</v>
      </c>
      <c r="B713" s="385" t="s">
        <v>74</v>
      </c>
      <c r="C713" s="261"/>
      <c r="D713" s="422">
        <v>1</v>
      </c>
      <c r="E713" s="265" t="s">
        <v>1224</v>
      </c>
      <c r="F713" s="261"/>
      <c r="G713" s="262"/>
      <c r="H713" s="263"/>
      <c r="I713" s="457"/>
    </row>
    <row r="714" spans="1:9" x14ac:dyDescent="0.25">
      <c r="A714" s="258"/>
      <c r="B714" s="408" t="s">
        <v>1236</v>
      </c>
      <c r="C714" s="261"/>
      <c r="D714" s="448">
        <v>1</v>
      </c>
      <c r="E714" s="345" t="s">
        <v>46</v>
      </c>
      <c r="F714" s="261">
        <v>2000000</v>
      </c>
      <c r="G714" s="263">
        <f>F714*D714</f>
        <v>2000000</v>
      </c>
      <c r="I714" s="457"/>
    </row>
    <row r="715" spans="1:9" x14ac:dyDescent="0.25">
      <c r="A715" s="258"/>
      <c r="B715" s="408" t="s">
        <v>1228</v>
      </c>
      <c r="C715" s="261"/>
      <c r="D715" s="448">
        <v>2.2000000000000002</v>
      </c>
      <c r="E715" s="345" t="s">
        <v>33</v>
      </c>
      <c r="F715" s="261">
        <v>95850</v>
      </c>
      <c r="G715" s="263">
        <f>F715*D715</f>
        <v>210870.00000000003</v>
      </c>
      <c r="I715" s="457"/>
    </row>
    <row r="716" spans="1:9" x14ac:dyDescent="0.25">
      <c r="A716" s="258"/>
      <c r="B716" s="408" t="s">
        <v>1217</v>
      </c>
      <c r="C716" s="261"/>
      <c r="D716" s="448">
        <v>12</v>
      </c>
      <c r="E716" s="345" t="s">
        <v>1075</v>
      </c>
      <c r="F716" s="261">
        <v>1100</v>
      </c>
      <c r="G716" s="263">
        <f>F716*D716</f>
        <v>13200</v>
      </c>
      <c r="I716" s="457"/>
    </row>
    <row r="717" spans="1:9" x14ac:dyDescent="0.25">
      <c r="A717" s="258"/>
      <c r="B717" s="408" t="s">
        <v>1230</v>
      </c>
      <c r="C717" s="261"/>
      <c r="D717" s="448">
        <v>0.5</v>
      </c>
      <c r="E717" s="345" t="s">
        <v>20</v>
      </c>
      <c r="F717" s="261">
        <v>1020000</v>
      </c>
      <c r="G717" s="263">
        <f>F717*D717</f>
        <v>510000</v>
      </c>
      <c r="I717" s="457"/>
    </row>
    <row r="718" spans="1:9" x14ac:dyDescent="0.25">
      <c r="A718" s="258"/>
      <c r="B718" s="408" t="s">
        <v>1231</v>
      </c>
      <c r="C718" s="261"/>
      <c r="D718" s="448">
        <v>1.25</v>
      </c>
      <c r="E718" s="345" t="s">
        <v>38</v>
      </c>
      <c r="F718" s="261">
        <v>15000</v>
      </c>
      <c r="G718" s="263">
        <f>F718*D718</f>
        <v>18750</v>
      </c>
      <c r="I718" s="457"/>
    </row>
    <row r="719" spans="1:9" x14ac:dyDescent="0.25">
      <c r="A719" s="258"/>
      <c r="B719" s="408" t="s">
        <v>1232</v>
      </c>
      <c r="C719" s="261"/>
      <c r="D719" s="448">
        <v>1</v>
      </c>
      <c r="E719" s="345" t="s">
        <v>38</v>
      </c>
      <c r="F719" s="261">
        <v>15000</v>
      </c>
      <c r="G719" s="263">
        <f>F719*D719</f>
        <v>15000</v>
      </c>
      <c r="I719" s="457"/>
    </row>
    <row r="720" spans="1:9" x14ac:dyDescent="0.25">
      <c r="A720" s="258"/>
      <c r="B720" s="408" t="s">
        <v>217</v>
      </c>
      <c r="C720" s="261"/>
      <c r="D720" s="448">
        <v>0.5</v>
      </c>
      <c r="E720" s="345" t="s">
        <v>1229</v>
      </c>
      <c r="F720" s="261">
        <f>VLOOKUP($B720,HSU!$B$6:$D$38,3,FALSE)</f>
        <v>70000</v>
      </c>
      <c r="G720" s="262">
        <f>F720*D720</f>
        <v>35000</v>
      </c>
      <c r="H720" s="263"/>
      <c r="I720" s="457"/>
    </row>
    <row r="721" spans="1:9" x14ac:dyDescent="0.25">
      <c r="A721" s="258"/>
      <c r="B721" s="408" t="s">
        <v>1234</v>
      </c>
      <c r="C721" s="261"/>
      <c r="D721" s="448">
        <v>0.5</v>
      </c>
      <c r="E721" s="345" t="s">
        <v>1229</v>
      </c>
      <c r="F721" s="261">
        <f>VLOOKUP($B721,HSU!$B$6:$D$38,3,FALSE)</f>
        <v>85000</v>
      </c>
      <c r="G721" s="262">
        <f>F721*D721</f>
        <v>42500</v>
      </c>
      <c r="H721" s="263"/>
      <c r="I721" s="457"/>
    </row>
    <row r="722" spans="1:9" x14ac:dyDescent="0.25">
      <c r="A722" s="258"/>
      <c r="B722" s="408" t="s">
        <v>1235</v>
      </c>
      <c r="C722" s="261"/>
      <c r="D722" s="448">
        <v>0.105</v>
      </c>
      <c r="E722" s="345" t="s">
        <v>1229</v>
      </c>
      <c r="F722" s="261">
        <f>VLOOKUP($B722,HSU!$B$6:$D$38,3,FALSE)</f>
        <v>90000</v>
      </c>
      <c r="G722" s="262">
        <f>F722*D722</f>
        <v>9450</v>
      </c>
      <c r="H722" s="263"/>
      <c r="I722" s="457"/>
    </row>
    <row r="723" spans="1:9" x14ac:dyDescent="0.25">
      <c r="A723" s="258"/>
      <c r="B723" s="408" t="s">
        <v>220</v>
      </c>
      <c r="C723" s="261"/>
      <c r="D723" s="448">
        <v>5.1999999999999998E-3</v>
      </c>
      <c r="E723" s="345" t="s">
        <v>1229</v>
      </c>
      <c r="F723" s="261">
        <f>VLOOKUP($B723,HSU!$B$6:$D$38,3,FALSE)</f>
        <v>85000</v>
      </c>
      <c r="G723" s="262">
        <f>F723*D723</f>
        <v>442</v>
      </c>
      <c r="H723" s="263"/>
      <c r="I723" s="457"/>
    </row>
    <row r="724" spans="1:9" x14ac:dyDescent="0.25">
      <c r="A724" s="272"/>
      <c r="B724" s="388" t="s">
        <v>222</v>
      </c>
      <c r="C724" s="274"/>
      <c r="D724" s="424"/>
      <c r="E724" s="273"/>
      <c r="F724" s="274"/>
      <c r="G724" s="275">
        <f>SUM(G714:G723)</f>
        <v>2855212</v>
      </c>
      <c r="H724" s="275"/>
      <c r="I724" s="459">
        <f>G724+H724</f>
        <v>2855212</v>
      </c>
    </row>
    <row r="725" spans="1:9" x14ac:dyDescent="0.25">
      <c r="A725" s="277"/>
      <c r="B725" s="389" t="s">
        <v>229</v>
      </c>
      <c r="C725" s="279"/>
      <c r="D725" s="425"/>
      <c r="E725" s="278"/>
      <c r="F725" s="279"/>
      <c r="G725" s="280"/>
      <c r="H725" s="281"/>
      <c r="I725" s="460">
        <f>I724*0.15</f>
        <v>428281.8</v>
      </c>
    </row>
    <row r="726" spans="1:9" x14ac:dyDescent="0.25">
      <c r="A726" s="277"/>
      <c r="B726" s="389" t="s">
        <v>222</v>
      </c>
      <c r="C726" s="279"/>
      <c r="D726" s="426"/>
      <c r="E726" s="278"/>
      <c r="F726" s="279"/>
      <c r="G726" s="262"/>
      <c r="H726" s="281"/>
      <c r="I726" s="461">
        <f>I724+I725</f>
        <v>3283493.8</v>
      </c>
    </row>
    <row r="727" spans="1:9" x14ac:dyDescent="0.25">
      <c r="A727" s="282"/>
      <c r="B727" s="390" t="s">
        <v>230</v>
      </c>
      <c r="C727" s="284"/>
      <c r="D727" s="427"/>
      <c r="E727" s="283"/>
      <c r="F727" s="284"/>
      <c r="G727" s="324"/>
      <c r="H727" s="325"/>
      <c r="I727" s="462">
        <f>ROUNDUP(I726,-2)</f>
        <v>3283500</v>
      </c>
    </row>
    <row r="728" spans="1:9" x14ac:dyDescent="0.25">
      <c r="A728" s="258"/>
      <c r="B728" s="383"/>
      <c r="C728" s="261"/>
      <c r="D728" s="439"/>
      <c r="E728" s="259"/>
      <c r="F728" s="261"/>
      <c r="G728" s="262"/>
      <c r="H728" s="263"/>
      <c r="I728" s="457"/>
    </row>
    <row r="729" spans="1:9" x14ac:dyDescent="0.25">
      <c r="A729" s="258">
        <v>31</v>
      </c>
      <c r="B729" s="385" t="s">
        <v>75</v>
      </c>
      <c r="C729" s="261"/>
      <c r="D729" s="422">
        <v>1</v>
      </c>
      <c r="E729" s="265" t="s">
        <v>1224</v>
      </c>
      <c r="F729" s="261"/>
      <c r="G729" s="262"/>
      <c r="H729" s="263"/>
      <c r="I729" s="457"/>
    </row>
    <row r="730" spans="1:9" x14ac:dyDescent="0.25">
      <c r="A730" s="258"/>
      <c r="B730" s="408" t="s">
        <v>1237</v>
      </c>
      <c r="C730" s="261"/>
      <c r="D730" s="448">
        <v>1</v>
      </c>
      <c r="E730" s="345" t="s">
        <v>46</v>
      </c>
      <c r="F730" s="261">
        <v>350000</v>
      </c>
      <c r="G730" s="263">
        <f>F730*D730</f>
        <v>350000</v>
      </c>
      <c r="I730" s="457"/>
    </row>
    <row r="731" spans="1:9" x14ac:dyDescent="0.25">
      <c r="A731" s="258"/>
      <c r="B731" s="408" t="s">
        <v>217</v>
      </c>
      <c r="C731" s="261"/>
      <c r="D731" s="448">
        <v>0.7</v>
      </c>
      <c r="E731" s="345" t="s">
        <v>1229</v>
      </c>
      <c r="F731" s="261">
        <f>VLOOKUP($B731,HSU!$B$6:$D$38,3,FALSE)</f>
        <v>70000</v>
      </c>
      <c r="G731" s="262">
        <f>F731*D731</f>
        <v>49000</v>
      </c>
      <c r="H731" s="263"/>
      <c r="I731" s="457"/>
    </row>
    <row r="732" spans="1:9" x14ac:dyDescent="0.25">
      <c r="A732" s="258"/>
      <c r="B732" s="408" t="s">
        <v>1234</v>
      </c>
      <c r="C732" s="261"/>
      <c r="D732" s="448">
        <v>0.7</v>
      </c>
      <c r="E732" s="345" t="s">
        <v>1229</v>
      </c>
      <c r="F732" s="261">
        <f>VLOOKUP($B732,HSU!$B$6:$D$38,3,FALSE)</f>
        <v>85000</v>
      </c>
      <c r="G732" s="262">
        <f>F732*D732</f>
        <v>59499.999999999993</v>
      </c>
      <c r="H732" s="263"/>
      <c r="I732" s="457"/>
    </row>
    <row r="733" spans="1:9" x14ac:dyDescent="0.25">
      <c r="A733" s="258"/>
      <c r="B733" s="408" t="s">
        <v>1235</v>
      </c>
      <c r="C733" s="261"/>
      <c r="D733" s="448">
        <v>0.23333333333333331</v>
      </c>
      <c r="E733" s="345" t="s">
        <v>1229</v>
      </c>
      <c r="F733" s="261">
        <f>VLOOKUP($B733,HSU!$B$6:$D$38,3,FALSE)</f>
        <v>90000</v>
      </c>
      <c r="G733" s="262">
        <f>F733*D733</f>
        <v>20999.999999999996</v>
      </c>
      <c r="H733" s="263"/>
      <c r="I733" s="457"/>
    </row>
    <row r="734" spans="1:9" x14ac:dyDescent="0.25">
      <c r="A734" s="258"/>
      <c r="B734" s="408" t="s">
        <v>220</v>
      </c>
      <c r="C734" s="261"/>
      <c r="D734" s="448">
        <v>7.7777777777777765E-2</v>
      </c>
      <c r="E734" s="345" t="s">
        <v>1229</v>
      </c>
      <c r="F734" s="261">
        <f>VLOOKUP($B734,HSU!$B$6:$D$38,3,FALSE)</f>
        <v>85000</v>
      </c>
      <c r="G734" s="262">
        <f>F734*D734</f>
        <v>6611.1111111111104</v>
      </c>
      <c r="H734" s="263"/>
      <c r="I734" s="457"/>
    </row>
    <row r="735" spans="1:9" x14ac:dyDescent="0.25">
      <c r="A735" s="272"/>
      <c r="B735" s="388" t="s">
        <v>222</v>
      </c>
      <c r="C735" s="274"/>
      <c r="D735" s="424"/>
      <c r="E735" s="273"/>
      <c r="F735" s="274"/>
      <c r="G735" s="275">
        <f>SUM(G730:G734)</f>
        <v>486111.11111111112</v>
      </c>
      <c r="H735" s="275"/>
      <c r="I735" s="459">
        <f>G735+H735</f>
        <v>486111.11111111112</v>
      </c>
    </row>
    <row r="736" spans="1:9" x14ac:dyDescent="0.25">
      <c r="A736" s="277"/>
      <c r="B736" s="389" t="s">
        <v>229</v>
      </c>
      <c r="C736" s="279"/>
      <c r="D736" s="425"/>
      <c r="E736" s="278"/>
      <c r="F736" s="279"/>
      <c r="G736" s="280"/>
      <c r="H736" s="281"/>
      <c r="I736" s="460">
        <f>I735*0.15</f>
        <v>72916.666666666672</v>
      </c>
    </row>
    <row r="737" spans="1:9" x14ac:dyDescent="0.25">
      <c r="A737" s="277"/>
      <c r="B737" s="389" t="s">
        <v>222</v>
      </c>
      <c r="C737" s="279"/>
      <c r="D737" s="426"/>
      <c r="E737" s="278"/>
      <c r="F737" s="279"/>
      <c r="G737" s="262"/>
      <c r="H737" s="281"/>
      <c r="I737" s="461">
        <f>I735+I736</f>
        <v>559027.77777777775</v>
      </c>
    </row>
    <row r="738" spans="1:9" x14ac:dyDescent="0.25">
      <c r="A738" s="282"/>
      <c r="B738" s="390" t="s">
        <v>230</v>
      </c>
      <c r="C738" s="284"/>
      <c r="D738" s="427"/>
      <c r="E738" s="283"/>
      <c r="F738" s="284"/>
      <c r="G738" s="324"/>
      <c r="H738" s="325"/>
      <c r="I738" s="462">
        <f>ROUNDUP(I737,-2)</f>
        <v>559100</v>
      </c>
    </row>
    <row r="739" spans="1:9" ht="15.75" thickBot="1" x14ac:dyDescent="0.3">
      <c r="I739" s="463"/>
    </row>
    <row r="740" spans="1:9" ht="16.5" thickTop="1" thickBot="1" x14ac:dyDescent="0.3">
      <c r="A740" s="253" t="s">
        <v>3</v>
      </c>
      <c r="B740" s="381" t="s">
        <v>1375</v>
      </c>
      <c r="C740" s="376" t="s">
        <v>1370</v>
      </c>
      <c r="D740" s="418" t="s">
        <v>1371</v>
      </c>
      <c r="E740" s="376" t="s">
        <v>1372</v>
      </c>
      <c r="F740" s="376" t="s">
        <v>1374</v>
      </c>
      <c r="G740" s="254" t="s">
        <v>1373</v>
      </c>
      <c r="H740" s="255"/>
      <c r="I740" s="455" t="s">
        <v>222</v>
      </c>
    </row>
    <row r="741" spans="1:9" ht="16.5" thickTop="1" thickBot="1" x14ac:dyDescent="0.3">
      <c r="A741" s="256" t="s">
        <v>223</v>
      </c>
      <c r="B741" s="382" t="s">
        <v>224</v>
      </c>
      <c r="C741" s="340" t="s">
        <v>225</v>
      </c>
      <c r="D741" s="419" t="s">
        <v>226</v>
      </c>
      <c r="E741" s="340" t="s">
        <v>1376</v>
      </c>
      <c r="F741" s="257" t="s">
        <v>1377</v>
      </c>
      <c r="G741" s="340" t="s">
        <v>1378</v>
      </c>
      <c r="H741" s="257" t="s">
        <v>1377</v>
      </c>
      <c r="I741" s="456" t="s">
        <v>1379</v>
      </c>
    </row>
    <row r="742" spans="1:9" ht="15.75" thickTop="1" x14ac:dyDescent="0.25">
      <c r="A742" s="297"/>
      <c r="B742" s="393"/>
      <c r="C742" s="343"/>
      <c r="D742" s="447"/>
      <c r="E742" s="342"/>
      <c r="F742" s="343"/>
      <c r="G742" s="300"/>
      <c r="H742" s="344"/>
      <c r="I742" s="466"/>
    </row>
    <row r="743" spans="1:9" x14ac:dyDescent="0.25">
      <c r="A743" s="258"/>
      <c r="B743" s="383" t="s">
        <v>40</v>
      </c>
      <c r="C743" s="261"/>
      <c r="D743" s="439"/>
      <c r="E743" s="259"/>
      <c r="F743" s="261"/>
      <c r="G743" s="262"/>
      <c r="H743" s="263"/>
      <c r="I743" s="457"/>
    </row>
    <row r="744" spans="1:9" x14ac:dyDescent="0.25">
      <c r="A744" s="258"/>
      <c r="B744" s="383"/>
      <c r="C744" s="261"/>
      <c r="D744" s="439"/>
      <c r="E744" s="259"/>
      <c r="F744" s="261"/>
      <c r="G744" s="262"/>
      <c r="H744" s="263"/>
      <c r="I744" s="457"/>
    </row>
    <row r="745" spans="1:9" x14ac:dyDescent="0.25">
      <c r="A745" s="258">
        <v>31</v>
      </c>
      <c r="B745" s="385" t="s">
        <v>1238</v>
      </c>
      <c r="C745" s="261"/>
      <c r="D745" s="422">
        <v>1</v>
      </c>
      <c r="E745" s="265" t="s">
        <v>14</v>
      </c>
      <c r="F745" s="261"/>
      <c r="G745" s="262"/>
      <c r="H745" s="263"/>
      <c r="I745" s="457"/>
    </row>
    <row r="746" spans="1:9" x14ac:dyDescent="0.25">
      <c r="A746" s="258" t="s">
        <v>231</v>
      </c>
      <c r="B746" s="408" t="s">
        <v>1239</v>
      </c>
      <c r="C746" s="261"/>
      <c r="D746" s="448">
        <v>0.36659999999999998</v>
      </c>
      <c r="E746" s="345" t="s">
        <v>1243</v>
      </c>
      <c r="F746" s="261">
        <f>HSM!E631</f>
        <v>24000</v>
      </c>
      <c r="G746" s="263">
        <f>F746*D746</f>
        <v>8798.4</v>
      </c>
      <c r="I746" s="457"/>
    </row>
    <row r="747" spans="1:9" x14ac:dyDescent="0.25">
      <c r="A747" s="258"/>
      <c r="B747" s="408" t="s">
        <v>1240</v>
      </c>
      <c r="C747" s="261"/>
      <c r="D747" s="448">
        <v>0.36659999999999998</v>
      </c>
      <c r="E747" s="345" t="s">
        <v>1243</v>
      </c>
      <c r="F747" s="261">
        <f>HSM!E632</f>
        <v>18000</v>
      </c>
      <c r="G747" s="263">
        <f>F747*D747</f>
        <v>6598.7999999999993</v>
      </c>
      <c r="I747" s="457"/>
    </row>
    <row r="748" spans="1:9" x14ac:dyDescent="0.25">
      <c r="A748" s="258"/>
      <c r="B748" s="408" t="s">
        <v>1240</v>
      </c>
      <c r="C748" s="261"/>
      <c r="D748" s="448">
        <v>0.22220000000000001</v>
      </c>
      <c r="E748" s="345" t="s">
        <v>1243</v>
      </c>
      <c r="F748" s="261">
        <f>HSM!E633</f>
        <v>18000</v>
      </c>
      <c r="G748" s="263">
        <f>F748*D748</f>
        <v>3999.6000000000004</v>
      </c>
      <c r="I748" s="457"/>
    </row>
    <row r="749" spans="1:9" x14ac:dyDescent="0.25">
      <c r="A749" s="258"/>
      <c r="B749" s="408" t="s">
        <v>1241</v>
      </c>
      <c r="C749" s="261"/>
      <c r="D749" s="448">
        <v>5.8666</v>
      </c>
      <c r="E749" s="345" t="s">
        <v>25</v>
      </c>
      <c r="F749" s="261">
        <f>HSM!E634</f>
        <v>350</v>
      </c>
      <c r="G749" s="263">
        <f>F749*D749</f>
        <v>2053.31</v>
      </c>
      <c r="I749" s="457"/>
    </row>
    <row r="750" spans="1:9" x14ac:dyDescent="0.25">
      <c r="A750" s="258"/>
      <c r="B750" s="408" t="s">
        <v>1242</v>
      </c>
      <c r="C750" s="261"/>
      <c r="D750" s="448">
        <v>0.05</v>
      </c>
      <c r="E750" s="345" t="s">
        <v>1244</v>
      </c>
      <c r="F750" s="261">
        <f>HSM!E635</f>
        <v>2500</v>
      </c>
      <c r="G750" s="263">
        <f>F750*D750</f>
        <v>125</v>
      </c>
      <c r="I750" s="457"/>
    </row>
    <row r="751" spans="1:9" x14ac:dyDescent="0.25">
      <c r="A751" s="258"/>
      <c r="B751" s="408" t="s">
        <v>217</v>
      </c>
      <c r="C751" s="261"/>
      <c r="D751" s="448">
        <v>0.125</v>
      </c>
      <c r="E751" s="345" t="s">
        <v>1229</v>
      </c>
      <c r="F751" s="261">
        <f>VLOOKUP($B751,HSU!$B$6:$D$38,3,FALSE)</f>
        <v>70000</v>
      </c>
      <c r="G751" s="262">
        <f>F751*D751</f>
        <v>8750</v>
      </c>
      <c r="H751" s="263"/>
      <c r="I751" s="457"/>
    </row>
    <row r="752" spans="1:9" x14ac:dyDescent="0.25">
      <c r="A752" s="258"/>
      <c r="B752" s="408" t="s">
        <v>1234</v>
      </c>
      <c r="C752" s="261"/>
      <c r="D752" s="448">
        <v>6.25E-2</v>
      </c>
      <c r="E752" s="345" t="s">
        <v>1229</v>
      </c>
      <c r="F752" s="261">
        <f>VLOOKUP($B752,HSU!$B$6:$D$38,3,FALSE)</f>
        <v>85000</v>
      </c>
      <c r="G752" s="262">
        <f>F752*D752</f>
        <v>5312.5</v>
      </c>
      <c r="H752" s="263"/>
      <c r="I752" s="457"/>
    </row>
    <row r="753" spans="1:9" x14ac:dyDescent="0.25">
      <c r="A753" s="258"/>
      <c r="B753" s="408" t="s">
        <v>1235</v>
      </c>
      <c r="C753" s="261"/>
      <c r="D753" s="448">
        <v>1.2500000000000001E-2</v>
      </c>
      <c r="E753" s="345" t="s">
        <v>1229</v>
      </c>
      <c r="F753" s="261">
        <f>VLOOKUP($B753,HSU!$B$6:$D$38,3,FALSE)</f>
        <v>90000</v>
      </c>
      <c r="G753" s="262">
        <f>F753*D753</f>
        <v>1125</v>
      </c>
      <c r="H753" s="263"/>
      <c r="I753" s="457"/>
    </row>
    <row r="754" spans="1:9" x14ac:dyDescent="0.25">
      <c r="A754" s="258"/>
      <c r="B754" s="408" t="s">
        <v>220</v>
      </c>
      <c r="C754" s="261"/>
      <c r="D754" s="448">
        <v>4.1999999999999997E-3</v>
      </c>
      <c r="E754" s="345" t="s">
        <v>1229</v>
      </c>
      <c r="F754" s="261">
        <f>VLOOKUP($B754,HSU!$B$6:$D$38,3,FALSE)</f>
        <v>85000</v>
      </c>
      <c r="G754" s="262">
        <f>F754*D754</f>
        <v>357</v>
      </c>
      <c r="H754" s="263"/>
      <c r="I754" s="457"/>
    </row>
    <row r="755" spans="1:9" x14ac:dyDescent="0.25">
      <c r="A755" s="272"/>
      <c r="B755" s="388" t="s">
        <v>222</v>
      </c>
      <c r="C755" s="274"/>
      <c r="D755" s="424"/>
      <c r="E755" s="273"/>
      <c r="F755" s="274"/>
      <c r="G755" s="275">
        <f>SUM(G746:G754)</f>
        <v>37119.61</v>
      </c>
      <c r="H755" s="275"/>
      <c r="I755" s="459">
        <f>G755+H755</f>
        <v>37119.61</v>
      </c>
    </row>
    <row r="756" spans="1:9" x14ac:dyDescent="0.25">
      <c r="A756" s="277"/>
      <c r="B756" s="389" t="s">
        <v>229</v>
      </c>
      <c r="C756" s="279"/>
      <c r="D756" s="425"/>
      <c r="E756" s="278"/>
      <c r="F756" s="279"/>
      <c r="G756" s="280"/>
      <c r="H756" s="281"/>
      <c r="I756" s="460">
        <f>I755*0.15</f>
        <v>5567.9414999999999</v>
      </c>
    </row>
    <row r="757" spans="1:9" x14ac:dyDescent="0.25">
      <c r="A757" s="277"/>
      <c r="B757" s="389" t="s">
        <v>222</v>
      </c>
      <c r="C757" s="279"/>
      <c r="D757" s="426"/>
      <c r="E757" s="278"/>
      <c r="F757" s="279"/>
      <c r="G757" s="262"/>
      <c r="H757" s="281"/>
      <c r="I757" s="461">
        <f>I755+I756</f>
        <v>42687.551500000001</v>
      </c>
    </row>
    <row r="758" spans="1:9" x14ac:dyDescent="0.25">
      <c r="A758" s="282"/>
      <c r="B758" s="390" t="s">
        <v>230</v>
      </c>
      <c r="C758" s="284"/>
      <c r="D758" s="427"/>
      <c r="E758" s="283"/>
      <c r="F758" s="284"/>
      <c r="G758" s="324"/>
      <c r="H758" s="325"/>
      <c r="I758" s="462">
        <f>ROUNDUP(I757,-2)</f>
        <v>42700</v>
      </c>
    </row>
    <row r="759" spans="1:9" x14ac:dyDescent="0.25">
      <c r="A759" s="258"/>
      <c r="B759" s="383"/>
      <c r="C759" s="261"/>
      <c r="D759" s="439"/>
      <c r="E759" s="259"/>
      <c r="F759" s="261"/>
      <c r="G759" s="262"/>
      <c r="H759" s="263"/>
      <c r="I759" s="457"/>
    </row>
    <row r="760" spans="1:9" x14ac:dyDescent="0.25">
      <c r="A760" s="258">
        <v>31</v>
      </c>
      <c r="B760" s="385" t="s">
        <v>1245</v>
      </c>
      <c r="C760" s="261"/>
      <c r="D760" s="422">
        <v>1</v>
      </c>
      <c r="E760" s="265" t="s">
        <v>14</v>
      </c>
      <c r="F760" s="261"/>
      <c r="G760" s="262"/>
      <c r="H760" s="263"/>
      <c r="I760" s="457"/>
    </row>
    <row r="761" spans="1:9" x14ac:dyDescent="0.25">
      <c r="A761" s="258" t="s">
        <v>231</v>
      </c>
      <c r="B761" s="408" t="s">
        <v>1246</v>
      </c>
      <c r="C761" s="261"/>
      <c r="D761" s="448">
        <v>0.36399999999999999</v>
      </c>
      <c r="E761" s="345" t="s">
        <v>1185</v>
      </c>
      <c r="F761" s="261">
        <v>66000</v>
      </c>
      <c r="G761" s="263">
        <f>F761*D761</f>
        <v>24024</v>
      </c>
      <c r="I761" s="457"/>
    </row>
    <row r="762" spans="1:9" x14ac:dyDescent="0.25">
      <c r="A762" s="258"/>
      <c r="B762" s="408" t="s">
        <v>1247</v>
      </c>
      <c r="C762" s="261"/>
      <c r="D762" s="448">
        <v>0.11</v>
      </c>
      <c r="E762" s="345" t="s">
        <v>38</v>
      </c>
      <c r="F762" s="261">
        <v>10000</v>
      </c>
      <c r="G762" s="263">
        <f>F762*D762</f>
        <v>1100</v>
      </c>
      <c r="I762" s="457"/>
    </row>
    <row r="763" spans="1:9" x14ac:dyDescent="0.25">
      <c r="A763" s="258"/>
      <c r="B763" s="408" t="s">
        <v>217</v>
      </c>
      <c r="C763" s="261"/>
      <c r="D763" s="448">
        <v>0.1</v>
      </c>
      <c r="E763" s="345" t="s">
        <v>1229</v>
      </c>
      <c r="F763" s="261">
        <f>VLOOKUP($B763,HSU!$B$6:$D$38,3,FALSE)</f>
        <v>70000</v>
      </c>
      <c r="G763" s="262">
        <f>F763*D763</f>
        <v>7000</v>
      </c>
      <c r="H763" s="263"/>
      <c r="I763" s="457"/>
    </row>
    <row r="764" spans="1:9" x14ac:dyDescent="0.25">
      <c r="A764" s="258"/>
      <c r="B764" s="408" t="s">
        <v>1234</v>
      </c>
      <c r="C764" s="261"/>
      <c r="D764" s="448">
        <v>0.05</v>
      </c>
      <c r="E764" s="345" t="s">
        <v>1229</v>
      </c>
      <c r="F764" s="261">
        <f>VLOOKUP($B764,HSU!$B$6:$D$38,3,FALSE)</f>
        <v>85000</v>
      </c>
      <c r="G764" s="262">
        <f>F764*D764</f>
        <v>4250</v>
      </c>
      <c r="H764" s="263"/>
      <c r="I764" s="457"/>
    </row>
    <row r="765" spans="1:9" x14ac:dyDescent="0.25">
      <c r="A765" s="258"/>
      <c r="B765" s="408" t="s">
        <v>1235</v>
      </c>
      <c r="C765" s="261"/>
      <c r="D765" s="448">
        <v>5.0000000000000001E-3</v>
      </c>
      <c r="E765" s="345" t="s">
        <v>1229</v>
      </c>
      <c r="F765" s="261">
        <f>VLOOKUP($B765,HSU!$B$6:$D$38,3,FALSE)</f>
        <v>90000</v>
      </c>
      <c r="G765" s="262">
        <f>F765*D765</f>
        <v>450</v>
      </c>
      <c r="H765" s="263"/>
      <c r="I765" s="457"/>
    </row>
    <row r="766" spans="1:9" x14ac:dyDescent="0.25">
      <c r="A766" s="258"/>
      <c r="B766" s="408" t="s">
        <v>220</v>
      </c>
      <c r="C766" s="261"/>
      <c r="D766" s="448">
        <v>5.0000000000000001E-3</v>
      </c>
      <c r="E766" s="345" t="s">
        <v>1229</v>
      </c>
      <c r="F766" s="261">
        <f>VLOOKUP($B766,HSU!$B$6:$D$38,3,FALSE)</f>
        <v>85000</v>
      </c>
      <c r="G766" s="262">
        <f>F766*D766</f>
        <v>425</v>
      </c>
      <c r="H766" s="263"/>
      <c r="I766" s="457"/>
    </row>
    <row r="767" spans="1:9" x14ac:dyDescent="0.25">
      <c r="A767" s="272"/>
      <c r="B767" s="388" t="s">
        <v>222</v>
      </c>
      <c r="C767" s="274"/>
      <c r="D767" s="424"/>
      <c r="E767" s="273"/>
      <c r="F767" s="274"/>
      <c r="G767" s="275">
        <f>SUM(G761:G766)</f>
        <v>37249</v>
      </c>
      <c r="H767" s="275"/>
      <c r="I767" s="459">
        <f>G767+H767</f>
        <v>37249</v>
      </c>
    </row>
    <row r="768" spans="1:9" x14ac:dyDescent="0.25">
      <c r="A768" s="277"/>
      <c r="B768" s="389" t="s">
        <v>229</v>
      </c>
      <c r="C768" s="279"/>
      <c r="D768" s="425"/>
      <c r="E768" s="278"/>
      <c r="F768" s="279"/>
      <c r="G768" s="280"/>
      <c r="H768" s="281"/>
      <c r="I768" s="460">
        <f>I767*0.15</f>
        <v>5587.3499999999995</v>
      </c>
    </row>
    <row r="769" spans="1:9" x14ac:dyDescent="0.25">
      <c r="A769" s="277"/>
      <c r="B769" s="389" t="s">
        <v>222</v>
      </c>
      <c r="C769" s="279"/>
      <c r="D769" s="426"/>
      <c r="E769" s="278"/>
      <c r="F769" s="279"/>
      <c r="G769" s="262"/>
      <c r="H769" s="281"/>
      <c r="I769" s="461">
        <f>I767+I768</f>
        <v>42836.35</v>
      </c>
    </row>
    <row r="770" spans="1:9" x14ac:dyDescent="0.25">
      <c r="A770" s="282"/>
      <c r="B770" s="390" t="s">
        <v>230</v>
      </c>
      <c r="C770" s="284"/>
      <c r="D770" s="427"/>
      <c r="E770" s="283"/>
      <c r="F770" s="284"/>
      <c r="G770" s="324"/>
      <c r="H770" s="325"/>
      <c r="I770" s="462">
        <f>ROUNDUP(I769,-2)</f>
        <v>42900</v>
      </c>
    </row>
    <row r="771" spans="1:9" x14ac:dyDescent="0.25">
      <c r="A771" s="258"/>
      <c r="B771" s="383"/>
      <c r="C771" s="261"/>
      <c r="D771" s="439"/>
      <c r="E771" s="259"/>
      <c r="F771" s="261"/>
      <c r="G771" s="262"/>
      <c r="H771" s="263"/>
      <c r="I771" s="457"/>
    </row>
    <row r="772" spans="1:9" ht="26.25" x14ac:dyDescent="0.25">
      <c r="A772" s="258">
        <v>31</v>
      </c>
      <c r="B772" s="385" t="s">
        <v>1248</v>
      </c>
      <c r="C772" s="261"/>
      <c r="D772" s="422">
        <v>1</v>
      </c>
      <c r="E772" s="265" t="s">
        <v>14</v>
      </c>
      <c r="F772" s="261"/>
      <c r="G772" s="262"/>
      <c r="H772" s="263"/>
      <c r="I772" s="457"/>
    </row>
    <row r="773" spans="1:9" x14ac:dyDescent="0.25">
      <c r="A773" s="258" t="s">
        <v>231</v>
      </c>
      <c r="B773" s="408" t="s">
        <v>1246</v>
      </c>
      <c r="C773" s="261"/>
      <c r="D773" s="448">
        <v>0.36399999999999999</v>
      </c>
      <c r="E773" s="345" t="s">
        <v>1185</v>
      </c>
      <c r="F773" s="261">
        <v>66000</v>
      </c>
      <c r="G773" s="263">
        <f>F773*D773</f>
        <v>24024</v>
      </c>
      <c r="I773" s="457"/>
    </row>
    <row r="774" spans="1:9" x14ac:dyDescent="0.25">
      <c r="A774" s="258"/>
      <c r="B774" s="408" t="s">
        <v>1247</v>
      </c>
      <c r="C774" s="261"/>
      <c r="D774" s="448">
        <v>0.11</v>
      </c>
      <c r="E774" s="345" t="s">
        <v>38</v>
      </c>
      <c r="F774" s="261">
        <v>10000</v>
      </c>
      <c r="G774" s="263">
        <f>F774*D774</f>
        <v>1100</v>
      </c>
      <c r="I774" s="457"/>
    </row>
    <row r="775" spans="1:9" x14ac:dyDescent="0.25">
      <c r="A775" s="258"/>
      <c r="B775" s="408" t="s">
        <v>217</v>
      </c>
      <c r="C775" s="261"/>
      <c r="D775" s="448">
        <v>0.1</v>
      </c>
      <c r="E775" s="345" t="s">
        <v>1229</v>
      </c>
      <c r="F775" s="261">
        <f>VLOOKUP($B775,HSU!$B$6:$D$38,3,FALSE)</f>
        <v>70000</v>
      </c>
      <c r="G775" s="262">
        <f>F775*D775</f>
        <v>7000</v>
      </c>
      <c r="H775" s="263"/>
      <c r="I775" s="457"/>
    </row>
    <row r="776" spans="1:9" x14ac:dyDescent="0.25">
      <c r="A776" s="258"/>
      <c r="B776" s="408" t="s">
        <v>1234</v>
      </c>
      <c r="C776" s="261"/>
      <c r="D776" s="448">
        <v>0.05</v>
      </c>
      <c r="E776" s="345" t="s">
        <v>1229</v>
      </c>
      <c r="F776" s="261">
        <f>VLOOKUP($B776,HSU!$B$6:$D$38,3,FALSE)</f>
        <v>85000</v>
      </c>
      <c r="G776" s="262">
        <f>F776*D776</f>
        <v>4250</v>
      </c>
      <c r="H776" s="263"/>
      <c r="I776" s="457"/>
    </row>
    <row r="777" spans="1:9" x14ac:dyDescent="0.25">
      <c r="A777" s="258"/>
      <c r="B777" s="408" t="s">
        <v>1235</v>
      </c>
      <c r="C777" s="261"/>
      <c r="D777" s="448">
        <v>5.0000000000000001E-3</v>
      </c>
      <c r="E777" s="345" t="s">
        <v>1229</v>
      </c>
      <c r="F777" s="261">
        <f>VLOOKUP($B777,HSU!$B$6:$D$38,3,FALSE)</f>
        <v>90000</v>
      </c>
      <c r="G777" s="262">
        <f>F777*D777</f>
        <v>450</v>
      </c>
      <c r="H777" s="263"/>
      <c r="I777" s="457"/>
    </row>
    <row r="778" spans="1:9" x14ac:dyDescent="0.25">
      <c r="A778" s="258"/>
      <c r="B778" s="408" t="s">
        <v>220</v>
      </c>
      <c r="C778" s="261"/>
      <c r="D778" s="448">
        <v>5.0000000000000001E-3</v>
      </c>
      <c r="E778" s="345" t="s">
        <v>1229</v>
      </c>
      <c r="F778" s="261">
        <f>VLOOKUP($B778,HSU!$B$6:$D$38,3,FALSE)</f>
        <v>85000</v>
      </c>
      <c r="G778" s="262">
        <f>F778*D778</f>
        <v>425</v>
      </c>
      <c r="H778" s="263"/>
      <c r="I778" s="457"/>
    </row>
    <row r="779" spans="1:9" x14ac:dyDescent="0.25">
      <c r="A779" s="272"/>
      <c r="B779" s="388" t="s">
        <v>222</v>
      </c>
      <c r="C779" s="274"/>
      <c r="D779" s="424"/>
      <c r="E779" s="273"/>
      <c r="F779" s="274"/>
      <c r="G779" s="275">
        <f>SUM(G773:G778)</f>
        <v>37249</v>
      </c>
      <c r="H779" s="275"/>
      <c r="I779" s="459">
        <f>G779+H779</f>
        <v>37249</v>
      </c>
    </row>
    <row r="780" spans="1:9" x14ac:dyDescent="0.25">
      <c r="A780" s="277"/>
      <c r="B780" s="389" t="s">
        <v>229</v>
      </c>
      <c r="C780" s="279"/>
      <c r="D780" s="425"/>
      <c r="E780" s="278"/>
      <c r="F780" s="279"/>
      <c r="G780" s="280"/>
      <c r="H780" s="281"/>
      <c r="I780" s="460">
        <f>I779*0.15</f>
        <v>5587.3499999999995</v>
      </c>
    </row>
    <row r="781" spans="1:9" x14ac:dyDescent="0.25">
      <c r="A781" s="277"/>
      <c r="B781" s="389" t="s">
        <v>222</v>
      </c>
      <c r="C781" s="279"/>
      <c r="D781" s="426"/>
      <c r="E781" s="278"/>
      <c r="F781" s="279"/>
      <c r="G781" s="262"/>
      <c r="H781" s="281"/>
      <c r="I781" s="461">
        <f>I779+I780</f>
        <v>42836.35</v>
      </c>
    </row>
    <row r="782" spans="1:9" x14ac:dyDescent="0.25">
      <c r="A782" s="282"/>
      <c r="B782" s="390" t="s">
        <v>230</v>
      </c>
      <c r="C782" s="284"/>
      <c r="D782" s="427"/>
      <c r="E782" s="283"/>
      <c r="F782" s="284"/>
      <c r="G782" s="324"/>
      <c r="H782" s="325"/>
      <c r="I782" s="462">
        <f>ROUNDUP(I781,-2)</f>
        <v>42900</v>
      </c>
    </row>
    <row r="783" spans="1:9" ht="15.75" thickBot="1" x14ac:dyDescent="0.3">
      <c r="I783" s="463"/>
    </row>
    <row r="784" spans="1:9" ht="16.5" thickTop="1" thickBot="1" x14ac:dyDescent="0.3">
      <c r="A784" s="253" t="s">
        <v>3</v>
      </c>
      <c r="B784" s="381" t="s">
        <v>1375</v>
      </c>
      <c r="C784" s="376" t="s">
        <v>1370</v>
      </c>
      <c r="D784" s="418" t="s">
        <v>1371</v>
      </c>
      <c r="E784" s="376" t="s">
        <v>1372</v>
      </c>
      <c r="F784" s="376" t="s">
        <v>1374</v>
      </c>
      <c r="G784" s="254" t="s">
        <v>1373</v>
      </c>
      <c r="H784" s="255"/>
      <c r="I784" s="455" t="s">
        <v>222</v>
      </c>
    </row>
    <row r="785" spans="1:9" ht="16.5" thickTop="1" thickBot="1" x14ac:dyDescent="0.3">
      <c r="A785" s="256" t="s">
        <v>223</v>
      </c>
      <c r="B785" s="382" t="s">
        <v>224</v>
      </c>
      <c r="C785" s="340" t="s">
        <v>225</v>
      </c>
      <c r="D785" s="419" t="s">
        <v>226</v>
      </c>
      <c r="E785" s="340" t="s">
        <v>1376</v>
      </c>
      <c r="F785" s="257" t="s">
        <v>1377</v>
      </c>
      <c r="G785" s="340" t="s">
        <v>1378</v>
      </c>
      <c r="H785" s="257" t="s">
        <v>1377</v>
      </c>
      <c r="I785" s="456" t="s">
        <v>1379</v>
      </c>
    </row>
    <row r="786" spans="1:9" ht="15.75" thickTop="1" x14ac:dyDescent="0.25">
      <c r="A786" s="297"/>
      <c r="B786" s="393"/>
      <c r="C786" s="343"/>
      <c r="D786" s="447"/>
      <c r="E786" s="342"/>
      <c r="F786" s="343"/>
      <c r="G786" s="300"/>
      <c r="H786" s="344"/>
      <c r="I786" s="466"/>
    </row>
    <row r="787" spans="1:9" x14ac:dyDescent="0.25">
      <c r="A787" s="258"/>
      <c r="B787" s="383" t="s">
        <v>76</v>
      </c>
      <c r="C787" s="261"/>
      <c r="D787" s="439"/>
      <c r="E787" s="259"/>
      <c r="F787" s="261"/>
      <c r="G787" s="262"/>
      <c r="H787" s="263"/>
      <c r="I787" s="457"/>
    </row>
    <row r="788" spans="1:9" x14ac:dyDescent="0.25">
      <c r="A788" s="258"/>
      <c r="B788" s="383"/>
      <c r="C788" s="261"/>
      <c r="D788" s="439"/>
      <c r="E788" s="259"/>
      <c r="F788" s="261"/>
      <c r="G788" s="262"/>
      <c r="H788" s="263"/>
      <c r="I788" s="457"/>
    </row>
    <row r="789" spans="1:9" x14ac:dyDescent="0.25">
      <c r="A789" s="258"/>
      <c r="B789" s="383"/>
      <c r="C789" s="261"/>
      <c r="D789" s="439"/>
      <c r="E789" s="259"/>
      <c r="F789" s="261"/>
      <c r="G789" s="262"/>
      <c r="H789" s="263"/>
      <c r="I789" s="457"/>
    </row>
    <row r="790" spans="1:9" ht="26.25" x14ac:dyDescent="0.25">
      <c r="A790" s="258">
        <v>31</v>
      </c>
      <c r="B790" s="385" t="s">
        <v>149</v>
      </c>
      <c r="C790" s="261"/>
      <c r="D790" s="422">
        <v>1</v>
      </c>
      <c r="E790" s="265" t="s">
        <v>14</v>
      </c>
      <c r="F790" s="261"/>
      <c r="G790" s="262"/>
      <c r="H790" s="263"/>
      <c r="I790" s="457"/>
    </row>
    <row r="791" spans="1:9" x14ac:dyDescent="0.25">
      <c r="A791" s="258" t="s">
        <v>231</v>
      </c>
      <c r="B791" s="408" t="s">
        <v>1249</v>
      </c>
      <c r="C791" s="261"/>
      <c r="D791" s="448">
        <v>0.1</v>
      </c>
      <c r="E791" s="368" t="s">
        <v>38</v>
      </c>
      <c r="F791" s="261">
        <f>HSM!E527</f>
        <v>29549.7</v>
      </c>
      <c r="G791" s="263">
        <f>F791*D791</f>
        <v>2954.9700000000003</v>
      </c>
      <c r="I791" s="457"/>
    </row>
    <row r="792" spans="1:9" x14ac:dyDescent="0.25">
      <c r="A792" s="258"/>
      <c r="B792" s="408" t="s">
        <v>1250</v>
      </c>
      <c r="C792" s="261"/>
      <c r="D792" s="448">
        <v>0.1</v>
      </c>
      <c r="E792" s="368" t="s">
        <v>38</v>
      </c>
      <c r="F792" s="261">
        <f>HSM!E507</f>
        <v>14549.4</v>
      </c>
      <c r="G792" s="263">
        <f>F792*D792</f>
        <v>1454.94</v>
      </c>
      <c r="I792" s="457"/>
    </row>
    <row r="793" spans="1:9" x14ac:dyDescent="0.25">
      <c r="A793" s="258"/>
      <c r="B793" s="408" t="s">
        <v>1252</v>
      </c>
      <c r="C793" s="261"/>
      <c r="D793" s="448">
        <v>0.26</v>
      </c>
      <c r="E793" s="368" t="s">
        <v>38</v>
      </c>
      <c r="F793" s="261">
        <v>70000</v>
      </c>
      <c r="G793" s="263">
        <f>F793*D793</f>
        <v>18200</v>
      </c>
      <c r="I793" s="457"/>
    </row>
    <row r="794" spans="1:9" x14ac:dyDescent="0.25">
      <c r="A794" s="258"/>
      <c r="B794" s="408" t="s">
        <v>217</v>
      </c>
      <c r="C794" s="261"/>
      <c r="D794" s="448">
        <v>0.02</v>
      </c>
      <c r="E794" s="369" t="s">
        <v>1229</v>
      </c>
      <c r="F794" s="261">
        <f>VLOOKUP($B794,HSU!$B$6:$D$38,3,FALSE)</f>
        <v>70000</v>
      </c>
      <c r="G794" s="262">
        <f>F794*D794</f>
        <v>1400</v>
      </c>
      <c r="H794" s="263"/>
      <c r="I794" s="457"/>
    </row>
    <row r="795" spans="1:9" x14ac:dyDescent="0.25">
      <c r="A795" s="258"/>
      <c r="B795" s="408" t="s">
        <v>1122</v>
      </c>
      <c r="C795" s="261"/>
      <c r="D795" s="448">
        <v>6.3E-2</v>
      </c>
      <c r="E795" s="370" t="s">
        <v>1229</v>
      </c>
      <c r="F795" s="261">
        <f>VLOOKUP($B795,HSU!$B$6:$D$38,3,FALSE)</f>
        <v>80000</v>
      </c>
      <c r="G795" s="262">
        <f>F795*D795</f>
        <v>5040</v>
      </c>
      <c r="H795" s="263"/>
      <c r="I795" s="457"/>
    </row>
    <row r="796" spans="1:9" x14ac:dyDescent="0.25">
      <c r="A796" s="258"/>
      <c r="B796" s="408" t="s">
        <v>1121</v>
      </c>
      <c r="C796" s="261"/>
      <c r="D796" s="448">
        <v>6.3E-3</v>
      </c>
      <c r="E796" s="370" t="s">
        <v>1229</v>
      </c>
      <c r="F796" s="261">
        <f>VLOOKUP($B796,HSU!$B$6:$D$38,3,FALSE)</f>
        <v>85000</v>
      </c>
      <c r="G796" s="262">
        <f>F796*D796</f>
        <v>535.5</v>
      </c>
      <c r="H796" s="263"/>
      <c r="I796" s="457"/>
    </row>
    <row r="797" spans="1:9" x14ac:dyDescent="0.25">
      <c r="A797" s="258"/>
      <c r="B797" s="408" t="s">
        <v>220</v>
      </c>
      <c r="C797" s="261"/>
      <c r="D797" s="448">
        <v>3.0000000000000001E-3</v>
      </c>
      <c r="E797" s="370" t="s">
        <v>1229</v>
      </c>
      <c r="F797" s="261">
        <f>VLOOKUP($B797,HSU!$B$6:$D$38,3,FALSE)</f>
        <v>85000</v>
      </c>
      <c r="G797" s="262">
        <f>F797*D797</f>
        <v>255</v>
      </c>
      <c r="H797" s="263"/>
      <c r="I797" s="457"/>
    </row>
    <row r="798" spans="1:9" x14ac:dyDescent="0.25">
      <c r="A798" s="272"/>
      <c r="B798" s="388" t="s">
        <v>222</v>
      </c>
      <c r="C798" s="274"/>
      <c r="D798" s="424"/>
      <c r="E798" s="371"/>
      <c r="F798" s="274"/>
      <c r="G798" s="275">
        <f>SUM(G791:G797)</f>
        <v>29840.41</v>
      </c>
      <c r="H798" s="275"/>
      <c r="I798" s="459">
        <f>G798+H798</f>
        <v>29840.41</v>
      </c>
    </row>
    <row r="799" spans="1:9" x14ac:dyDescent="0.25">
      <c r="A799" s="277"/>
      <c r="B799" s="389" t="s">
        <v>229</v>
      </c>
      <c r="C799" s="279"/>
      <c r="D799" s="425"/>
      <c r="E799" s="372"/>
      <c r="F799" s="279"/>
      <c r="G799" s="280"/>
      <c r="H799" s="281"/>
      <c r="I799" s="460">
        <f>I798*0.15</f>
        <v>4476.0614999999998</v>
      </c>
    </row>
    <row r="800" spans="1:9" x14ac:dyDescent="0.25">
      <c r="A800" s="277"/>
      <c r="B800" s="389" t="s">
        <v>222</v>
      </c>
      <c r="C800" s="279"/>
      <c r="D800" s="426"/>
      <c r="E800" s="372"/>
      <c r="F800" s="279"/>
      <c r="G800" s="262"/>
      <c r="H800" s="281"/>
      <c r="I800" s="461">
        <f>I798+I799</f>
        <v>34316.4715</v>
      </c>
    </row>
    <row r="801" spans="1:9" x14ac:dyDescent="0.25">
      <c r="A801" s="282"/>
      <c r="B801" s="390" t="s">
        <v>230</v>
      </c>
      <c r="C801" s="284"/>
      <c r="D801" s="427"/>
      <c r="E801" s="373"/>
      <c r="F801" s="284"/>
      <c r="G801" s="324"/>
      <c r="H801" s="325"/>
      <c r="I801" s="462">
        <f>ROUNDUP(I800,-2)</f>
        <v>34400</v>
      </c>
    </row>
    <row r="802" spans="1:9" x14ac:dyDescent="0.25">
      <c r="A802" s="258"/>
      <c r="B802" s="383"/>
      <c r="C802" s="261"/>
      <c r="D802" s="439"/>
      <c r="E802" s="374"/>
      <c r="F802" s="261"/>
      <c r="G802" s="262"/>
      <c r="H802" s="263"/>
      <c r="I802" s="457"/>
    </row>
    <row r="803" spans="1:9" ht="26.25" x14ac:dyDescent="0.25">
      <c r="A803" s="258">
        <v>31</v>
      </c>
      <c r="B803" s="385" t="s">
        <v>149</v>
      </c>
      <c r="C803" s="261"/>
      <c r="D803" s="422">
        <v>1</v>
      </c>
      <c r="E803" s="375" t="s">
        <v>14</v>
      </c>
      <c r="F803" s="261"/>
      <c r="G803" s="262"/>
      <c r="H803" s="263"/>
      <c r="I803" s="457"/>
    </row>
    <row r="804" spans="1:9" x14ac:dyDescent="0.25">
      <c r="A804" s="258" t="s">
        <v>231</v>
      </c>
      <c r="B804" s="408" t="s">
        <v>1249</v>
      </c>
      <c r="C804" s="261"/>
      <c r="D804" s="448">
        <v>0.1</v>
      </c>
      <c r="E804" s="368" t="s">
        <v>38</v>
      </c>
      <c r="F804" s="261">
        <f>F791</f>
        <v>29549.7</v>
      </c>
      <c r="G804" s="263">
        <f>F804*D804</f>
        <v>2954.9700000000003</v>
      </c>
      <c r="I804" s="457"/>
    </row>
    <row r="805" spans="1:9" x14ac:dyDescent="0.25">
      <c r="A805" s="258"/>
      <c r="B805" s="408" t="s">
        <v>1250</v>
      </c>
      <c r="C805" s="261"/>
      <c r="D805" s="448">
        <v>0.1</v>
      </c>
      <c r="E805" s="368" t="s">
        <v>38</v>
      </c>
      <c r="F805" s="261">
        <f>F792</f>
        <v>14549.4</v>
      </c>
      <c r="G805" s="263">
        <f>F805*D805</f>
        <v>1454.94</v>
      </c>
      <c r="I805" s="457"/>
    </row>
    <row r="806" spans="1:9" x14ac:dyDescent="0.25">
      <c r="A806" s="258"/>
      <c r="B806" s="408" t="s">
        <v>1255</v>
      </c>
      <c r="C806" s="261"/>
      <c r="D806" s="448">
        <v>0.26</v>
      </c>
      <c r="E806" s="368" t="s">
        <v>38</v>
      </c>
      <c r="F806" s="261">
        <f>HSM!E512</f>
        <v>120000</v>
      </c>
      <c r="G806" s="263">
        <f>F806*D806</f>
        <v>31200</v>
      </c>
      <c r="I806" s="457"/>
    </row>
    <row r="807" spans="1:9" x14ac:dyDescent="0.25">
      <c r="A807" s="258"/>
      <c r="B807" s="408" t="s">
        <v>217</v>
      </c>
      <c r="C807" s="261"/>
      <c r="D807" s="448">
        <v>0.02</v>
      </c>
      <c r="E807" s="370" t="s">
        <v>1229</v>
      </c>
      <c r="F807" s="261">
        <f>VLOOKUP($B807,HSU!$B$6:$D$38,3,FALSE)</f>
        <v>70000</v>
      </c>
      <c r="G807" s="262">
        <f>F807*D807</f>
        <v>1400</v>
      </c>
      <c r="H807" s="263"/>
      <c r="I807" s="457"/>
    </row>
    <row r="808" spans="1:9" x14ac:dyDescent="0.25">
      <c r="A808" s="258"/>
      <c r="B808" s="408" t="s">
        <v>1122</v>
      </c>
      <c r="C808" s="261"/>
      <c r="D808" s="448">
        <v>6.3E-2</v>
      </c>
      <c r="E808" s="370" t="s">
        <v>1229</v>
      </c>
      <c r="F808" s="261">
        <f>VLOOKUP($B808,HSU!$B$6:$D$38,3,FALSE)</f>
        <v>80000</v>
      </c>
      <c r="G808" s="262">
        <f>F808*D808</f>
        <v>5040</v>
      </c>
      <c r="H808" s="263"/>
      <c r="I808" s="457"/>
    </row>
    <row r="809" spans="1:9" x14ac:dyDescent="0.25">
      <c r="A809" s="258"/>
      <c r="B809" s="408" t="s">
        <v>1121</v>
      </c>
      <c r="C809" s="261"/>
      <c r="D809" s="448">
        <v>6.3E-3</v>
      </c>
      <c r="E809" s="370" t="s">
        <v>1229</v>
      </c>
      <c r="F809" s="261">
        <f>VLOOKUP($B809,HSU!$B$6:$D$38,3,FALSE)</f>
        <v>85000</v>
      </c>
      <c r="G809" s="262">
        <f>F809*D809</f>
        <v>535.5</v>
      </c>
      <c r="H809" s="263"/>
      <c r="I809" s="457"/>
    </row>
    <row r="810" spans="1:9" x14ac:dyDescent="0.25">
      <c r="A810" s="258"/>
      <c r="B810" s="408" t="s">
        <v>220</v>
      </c>
      <c r="C810" s="261"/>
      <c r="D810" s="448">
        <v>3.0000000000000001E-3</v>
      </c>
      <c r="E810" s="370" t="s">
        <v>1229</v>
      </c>
      <c r="F810" s="261">
        <f>VLOOKUP($B810,HSU!$B$6:$D$38,3,FALSE)</f>
        <v>85000</v>
      </c>
      <c r="G810" s="262">
        <f>F810*D810</f>
        <v>255</v>
      </c>
      <c r="H810" s="263"/>
      <c r="I810" s="457"/>
    </row>
    <row r="811" spans="1:9" x14ac:dyDescent="0.25">
      <c r="A811" s="272"/>
      <c r="B811" s="388" t="s">
        <v>222</v>
      </c>
      <c r="C811" s="274"/>
      <c r="D811" s="424"/>
      <c r="E811" s="372"/>
      <c r="F811" s="274"/>
      <c r="G811" s="275">
        <f>SUM(G804:G810)</f>
        <v>42840.41</v>
      </c>
      <c r="H811" s="275"/>
      <c r="I811" s="459">
        <f>G811+H811</f>
        <v>42840.41</v>
      </c>
    </row>
    <row r="812" spans="1:9" x14ac:dyDescent="0.25">
      <c r="A812" s="277"/>
      <c r="B812" s="389" t="s">
        <v>229</v>
      </c>
      <c r="C812" s="279"/>
      <c r="D812" s="425"/>
      <c r="E812" s="372"/>
      <c r="F812" s="279"/>
      <c r="G812" s="280"/>
      <c r="H812" s="281"/>
      <c r="I812" s="460">
        <f>I811*0.15</f>
        <v>6426.0615000000007</v>
      </c>
    </row>
    <row r="813" spans="1:9" x14ac:dyDescent="0.25">
      <c r="A813" s="277"/>
      <c r="B813" s="389" t="s">
        <v>222</v>
      </c>
      <c r="C813" s="279"/>
      <c r="D813" s="426"/>
      <c r="E813" s="372"/>
      <c r="F813" s="279"/>
      <c r="G813" s="262"/>
      <c r="H813" s="281"/>
      <c r="I813" s="461">
        <f>I811+I812</f>
        <v>49266.471500000007</v>
      </c>
    </row>
    <row r="814" spans="1:9" x14ac:dyDescent="0.25">
      <c r="A814" s="282"/>
      <c r="B814" s="390" t="s">
        <v>230</v>
      </c>
      <c r="C814" s="284"/>
      <c r="D814" s="427"/>
      <c r="E814" s="373"/>
      <c r="F814" s="284"/>
      <c r="G814" s="324"/>
      <c r="H814" s="325"/>
      <c r="I814" s="462">
        <f>ROUNDUP(I813,-2)</f>
        <v>49300</v>
      </c>
    </row>
    <row r="815" spans="1:9" x14ac:dyDescent="0.25">
      <c r="A815" s="258"/>
      <c r="B815" s="383"/>
      <c r="C815" s="261"/>
      <c r="D815" s="439"/>
      <c r="E815" s="374"/>
      <c r="F815" s="261"/>
      <c r="G815" s="262"/>
      <c r="H815" s="263"/>
      <c r="I815" s="457"/>
    </row>
    <row r="816" spans="1:9" ht="26.25" x14ac:dyDescent="0.25">
      <c r="A816" s="258">
        <v>31</v>
      </c>
      <c r="B816" s="385" t="s">
        <v>150</v>
      </c>
      <c r="C816" s="261"/>
      <c r="D816" s="422">
        <v>1</v>
      </c>
      <c r="E816" s="375" t="s">
        <v>14</v>
      </c>
      <c r="F816" s="261"/>
      <c r="G816" s="262"/>
      <c r="H816" s="263"/>
      <c r="I816" s="457"/>
    </row>
    <row r="817" spans="1:9" x14ac:dyDescent="0.25">
      <c r="A817" s="258" t="s">
        <v>231</v>
      </c>
      <c r="B817" s="408" t="s">
        <v>1256</v>
      </c>
      <c r="C817" s="261"/>
      <c r="D817" s="448">
        <v>0.2</v>
      </c>
      <c r="E817" s="368" t="s">
        <v>38</v>
      </c>
      <c r="F817" s="261">
        <f>HSM!E517</f>
        <v>18787.5</v>
      </c>
      <c r="G817" s="263">
        <f>F817*D817</f>
        <v>3757.5</v>
      </c>
      <c r="I817" s="457"/>
    </row>
    <row r="818" spans="1:9" x14ac:dyDescent="0.25">
      <c r="A818" s="258"/>
      <c r="B818" s="408" t="s">
        <v>1249</v>
      </c>
      <c r="C818" s="261"/>
      <c r="D818" s="448">
        <v>0.15</v>
      </c>
      <c r="E818" s="368" t="s">
        <v>38</v>
      </c>
      <c r="F818" s="261">
        <f>HSM!E526</f>
        <v>23249.7</v>
      </c>
      <c r="G818" s="263">
        <f>F818*D818</f>
        <v>3487.4549999999999</v>
      </c>
      <c r="I818" s="457"/>
    </row>
    <row r="819" spans="1:9" x14ac:dyDescent="0.25">
      <c r="A819" s="258"/>
      <c r="B819" s="408" t="s">
        <v>1250</v>
      </c>
      <c r="C819" s="261"/>
      <c r="D819" s="448">
        <v>0.17</v>
      </c>
      <c r="E819" s="368" t="s">
        <v>38</v>
      </c>
      <c r="F819" s="261">
        <f>HSM!E505</f>
        <v>37125</v>
      </c>
      <c r="G819" s="263">
        <f>F819*D819</f>
        <v>6311.25</v>
      </c>
      <c r="I819" s="457"/>
    </row>
    <row r="820" spans="1:9" x14ac:dyDescent="0.25">
      <c r="A820" s="258"/>
      <c r="B820" s="408" t="s">
        <v>1251</v>
      </c>
      <c r="C820" s="261"/>
      <c r="D820" s="448">
        <v>0.35</v>
      </c>
      <c r="E820" s="368" t="s">
        <v>38</v>
      </c>
      <c r="F820" s="261">
        <f>HSM!E509</f>
        <v>40649.4</v>
      </c>
      <c r="G820" s="263">
        <f>F820*D820</f>
        <v>14227.289999999999</v>
      </c>
      <c r="I820" s="457"/>
    </row>
    <row r="821" spans="1:9" x14ac:dyDescent="0.25">
      <c r="A821" s="258"/>
      <c r="B821" s="408" t="s">
        <v>1257</v>
      </c>
      <c r="C821" s="261"/>
      <c r="D821" s="448">
        <v>0.01</v>
      </c>
      <c r="E821" s="368" t="s">
        <v>269</v>
      </c>
      <c r="F821" s="261">
        <f>HSM!E523</f>
        <v>6599.7</v>
      </c>
      <c r="G821" s="263">
        <f>F821*D821</f>
        <v>65.997</v>
      </c>
      <c r="I821" s="457"/>
    </row>
    <row r="822" spans="1:9" x14ac:dyDescent="0.25">
      <c r="A822" s="258"/>
      <c r="B822" s="408" t="s">
        <v>1258</v>
      </c>
      <c r="C822" s="261"/>
      <c r="D822" s="448">
        <v>0.03</v>
      </c>
      <c r="E822" s="368" t="s">
        <v>38</v>
      </c>
      <c r="F822" s="261">
        <f>HSM!E531</f>
        <v>22500</v>
      </c>
      <c r="G822" s="263">
        <f>F822*D822</f>
        <v>675</v>
      </c>
      <c r="I822" s="457"/>
    </row>
    <row r="823" spans="1:9" x14ac:dyDescent="0.25">
      <c r="A823" s="258"/>
      <c r="B823" s="408" t="s">
        <v>1259</v>
      </c>
      <c r="C823" s="261"/>
      <c r="D823" s="448">
        <v>0.2</v>
      </c>
      <c r="E823" s="368" t="s">
        <v>320</v>
      </c>
      <c r="F823" s="261">
        <f>HSM!E525</f>
        <v>2999.7000000000003</v>
      </c>
      <c r="G823" s="263">
        <f>F823*D823</f>
        <v>599.94000000000005</v>
      </c>
      <c r="I823" s="457"/>
    </row>
    <row r="824" spans="1:9" x14ac:dyDescent="0.25">
      <c r="A824" s="258"/>
      <c r="B824" s="408" t="s">
        <v>217</v>
      </c>
      <c r="C824" s="261"/>
      <c r="D824" s="448">
        <v>7.0000000000000007E-2</v>
      </c>
      <c r="E824" s="345" t="s">
        <v>1229</v>
      </c>
      <c r="F824" s="261">
        <f>VLOOKUP($B824,HSU!$B$6:$D$38,3,FALSE)</f>
        <v>70000</v>
      </c>
      <c r="G824" s="262">
        <f>F824*D824</f>
        <v>4900.0000000000009</v>
      </c>
      <c r="H824" s="263"/>
      <c r="I824" s="457"/>
    </row>
    <row r="825" spans="1:9" x14ac:dyDescent="0.25">
      <c r="A825" s="258"/>
      <c r="B825" s="408" t="s">
        <v>1122</v>
      </c>
      <c r="C825" s="261"/>
      <c r="D825" s="448">
        <v>0.105</v>
      </c>
      <c r="E825" s="345" t="s">
        <v>1229</v>
      </c>
      <c r="F825" s="261">
        <f>VLOOKUP($B825,HSU!$B$6:$D$38,3,FALSE)</f>
        <v>80000</v>
      </c>
      <c r="G825" s="262">
        <f>F825*D825</f>
        <v>8400</v>
      </c>
      <c r="H825" s="263"/>
      <c r="I825" s="457"/>
    </row>
    <row r="826" spans="1:9" x14ac:dyDescent="0.25">
      <c r="A826" s="258"/>
      <c r="B826" s="408" t="s">
        <v>1121</v>
      </c>
      <c r="C826" s="261"/>
      <c r="D826" s="448">
        <v>4.0000000000000001E-3</v>
      </c>
      <c r="E826" s="345" t="s">
        <v>1229</v>
      </c>
      <c r="F826" s="261">
        <f>VLOOKUP($B826,HSU!$B$6:$D$38,3,FALSE)</f>
        <v>85000</v>
      </c>
      <c r="G826" s="262">
        <f>F826*D826</f>
        <v>340</v>
      </c>
      <c r="H826" s="263"/>
      <c r="I826" s="457"/>
    </row>
    <row r="827" spans="1:9" x14ac:dyDescent="0.25">
      <c r="A827" s="258"/>
      <c r="B827" s="408" t="s">
        <v>220</v>
      </c>
      <c r="C827" s="261"/>
      <c r="D827" s="448">
        <v>3.0000000000000001E-3</v>
      </c>
      <c r="E827" s="345" t="s">
        <v>1229</v>
      </c>
      <c r="F827" s="261">
        <f>VLOOKUP($B827,HSU!$B$6:$D$38,3,FALSE)</f>
        <v>85000</v>
      </c>
      <c r="G827" s="262">
        <f>F827*D827</f>
        <v>255</v>
      </c>
      <c r="H827" s="263"/>
      <c r="I827" s="457"/>
    </row>
    <row r="828" spans="1:9" x14ac:dyDescent="0.25">
      <c r="A828" s="272"/>
      <c r="B828" s="388" t="s">
        <v>222</v>
      </c>
      <c r="C828" s="274"/>
      <c r="D828" s="424"/>
      <c r="E828" s="273"/>
      <c r="F828" s="274"/>
      <c r="G828" s="275">
        <f>SUM(G817:G827)</f>
        <v>43019.432000000001</v>
      </c>
      <c r="H828" s="275"/>
      <c r="I828" s="459">
        <f>G828+H828</f>
        <v>43019.432000000001</v>
      </c>
    </row>
    <row r="829" spans="1:9" x14ac:dyDescent="0.25">
      <c r="A829" s="277"/>
      <c r="B829" s="389" t="s">
        <v>229</v>
      </c>
      <c r="C829" s="279"/>
      <c r="D829" s="425"/>
      <c r="E829" s="278"/>
      <c r="F829" s="279"/>
      <c r="G829" s="280"/>
      <c r="H829" s="281"/>
      <c r="I829" s="460">
        <f>I828*0.15</f>
        <v>6452.9147999999996</v>
      </c>
    </row>
    <row r="830" spans="1:9" x14ac:dyDescent="0.25">
      <c r="A830" s="277"/>
      <c r="B830" s="389" t="s">
        <v>222</v>
      </c>
      <c r="C830" s="279"/>
      <c r="D830" s="426"/>
      <c r="E830" s="278"/>
      <c r="F830" s="279"/>
      <c r="G830" s="262"/>
      <c r="H830" s="281"/>
      <c r="I830" s="461">
        <f>I828+I829</f>
        <v>49472.346799999999</v>
      </c>
    </row>
    <row r="831" spans="1:9" x14ac:dyDescent="0.25">
      <c r="A831" s="282"/>
      <c r="B831" s="390" t="s">
        <v>230</v>
      </c>
      <c r="C831" s="284"/>
      <c r="D831" s="427"/>
      <c r="E831" s="283"/>
      <c r="F831" s="284"/>
      <c r="G831" s="324"/>
      <c r="H831" s="325"/>
      <c r="I831" s="462">
        <f>ROUNDUP(I830,-2)</f>
        <v>49500</v>
      </c>
    </row>
    <row r="832" spans="1:9" x14ac:dyDescent="0.25">
      <c r="A832" s="258"/>
      <c r="B832" s="383"/>
      <c r="C832" s="261"/>
      <c r="D832" s="439"/>
      <c r="E832" s="374"/>
      <c r="F832" s="261"/>
      <c r="G832" s="262"/>
      <c r="H832" s="263"/>
      <c r="I832" s="457"/>
    </row>
    <row r="833" spans="1:9" x14ac:dyDescent="0.25">
      <c r="A833" s="258">
        <v>31</v>
      </c>
      <c r="B833" s="385" t="s">
        <v>151</v>
      </c>
      <c r="C833" s="261"/>
      <c r="D833" s="422">
        <v>1</v>
      </c>
      <c r="E833" s="375" t="s">
        <v>14</v>
      </c>
      <c r="F833" s="261"/>
      <c r="G833" s="262"/>
      <c r="H833" s="263"/>
      <c r="I833" s="457"/>
    </row>
    <row r="834" spans="1:9" x14ac:dyDescent="0.25">
      <c r="A834" s="258" t="s">
        <v>231</v>
      </c>
      <c r="B834" s="408" t="s">
        <v>1250</v>
      </c>
      <c r="C834" s="261"/>
      <c r="D834" s="448">
        <v>0.2</v>
      </c>
      <c r="E834" s="368" t="s">
        <v>38</v>
      </c>
      <c r="F834" s="261">
        <f>HSM!E507</f>
        <v>14549.4</v>
      </c>
      <c r="G834" s="263">
        <f>F834*D834</f>
        <v>2909.88</v>
      </c>
      <c r="I834" s="457"/>
    </row>
    <row r="835" spans="1:9" x14ac:dyDescent="0.25">
      <c r="A835" s="258"/>
      <c r="B835" s="408" t="s">
        <v>1260</v>
      </c>
      <c r="C835" s="261"/>
      <c r="D835" s="448">
        <v>0.15</v>
      </c>
      <c r="E835" s="368" t="s">
        <v>38</v>
      </c>
      <c r="F835" s="261">
        <f>HSM!E510</f>
        <v>32000</v>
      </c>
      <c r="G835" s="263">
        <f>F835*D835</f>
        <v>4800</v>
      </c>
      <c r="I835" s="457"/>
    </row>
    <row r="836" spans="1:9" x14ac:dyDescent="0.25">
      <c r="A836" s="258"/>
      <c r="B836" s="408" t="s">
        <v>217</v>
      </c>
      <c r="C836" s="261"/>
      <c r="D836" s="448">
        <v>7.0000000000000007E-2</v>
      </c>
      <c r="E836" s="345" t="s">
        <v>1229</v>
      </c>
      <c r="F836" s="261">
        <f>VLOOKUP($B836,HSU!$B$6:$D$38,3,FALSE)</f>
        <v>70000</v>
      </c>
      <c r="G836" s="262">
        <f>F836*D836</f>
        <v>4900.0000000000009</v>
      </c>
      <c r="H836" s="263"/>
      <c r="I836" s="457"/>
    </row>
    <row r="837" spans="1:9" x14ac:dyDescent="0.25">
      <c r="A837" s="258"/>
      <c r="B837" s="408" t="s">
        <v>1122</v>
      </c>
      <c r="C837" s="261"/>
      <c r="D837" s="448">
        <v>0.105</v>
      </c>
      <c r="E837" s="345" t="s">
        <v>1229</v>
      </c>
      <c r="F837" s="261">
        <f>VLOOKUP($B837,HSU!$B$6:$D$38,3,FALSE)</f>
        <v>80000</v>
      </c>
      <c r="G837" s="262">
        <f>F837*D837</f>
        <v>8400</v>
      </c>
      <c r="H837" s="263"/>
      <c r="I837" s="457"/>
    </row>
    <row r="838" spans="1:9" x14ac:dyDescent="0.25">
      <c r="A838" s="258"/>
      <c r="B838" s="408" t="s">
        <v>1121</v>
      </c>
      <c r="C838" s="261"/>
      <c r="D838" s="448">
        <v>4.0000000000000001E-3</v>
      </c>
      <c r="E838" s="345" t="s">
        <v>1229</v>
      </c>
      <c r="F838" s="261">
        <f>VLOOKUP($B838,HSU!$B$6:$D$38,3,FALSE)</f>
        <v>85000</v>
      </c>
      <c r="G838" s="262">
        <f>F838*D838</f>
        <v>340</v>
      </c>
      <c r="H838" s="263"/>
      <c r="I838" s="457"/>
    </row>
    <row r="839" spans="1:9" x14ac:dyDescent="0.25">
      <c r="A839" s="258"/>
      <c r="B839" s="408" t="s">
        <v>220</v>
      </c>
      <c r="C839" s="261"/>
      <c r="D839" s="448">
        <v>3.0000000000000001E-3</v>
      </c>
      <c r="E839" s="345" t="s">
        <v>1229</v>
      </c>
      <c r="F839" s="261">
        <f>VLOOKUP($B839,HSU!$B$6:$D$38,3,FALSE)</f>
        <v>85000</v>
      </c>
      <c r="G839" s="262">
        <f>F839*D839</f>
        <v>255</v>
      </c>
      <c r="H839" s="263"/>
      <c r="I839" s="457"/>
    </row>
    <row r="840" spans="1:9" x14ac:dyDescent="0.25">
      <c r="A840" s="272"/>
      <c r="B840" s="388" t="s">
        <v>222</v>
      </c>
      <c r="C840" s="274"/>
      <c r="D840" s="424"/>
      <c r="E840" s="273"/>
      <c r="F840" s="274"/>
      <c r="G840" s="275">
        <f>SUM(G834:G839)</f>
        <v>21604.880000000001</v>
      </c>
      <c r="H840" s="275"/>
      <c r="I840" s="459">
        <f>G840+H840</f>
        <v>21604.880000000001</v>
      </c>
    </row>
    <row r="841" spans="1:9" x14ac:dyDescent="0.25">
      <c r="A841" s="277"/>
      <c r="B841" s="389" t="s">
        <v>229</v>
      </c>
      <c r="C841" s="279"/>
      <c r="D841" s="425"/>
      <c r="E841" s="278"/>
      <c r="F841" s="279"/>
      <c r="G841" s="280"/>
      <c r="H841" s="281"/>
      <c r="I841" s="460">
        <f>I840*0.15</f>
        <v>3240.732</v>
      </c>
    </row>
    <row r="842" spans="1:9" x14ac:dyDescent="0.25">
      <c r="A842" s="277"/>
      <c r="B842" s="389" t="s">
        <v>222</v>
      </c>
      <c r="C842" s="279"/>
      <c r="D842" s="426"/>
      <c r="E842" s="278"/>
      <c r="F842" s="279"/>
      <c r="G842" s="262"/>
      <c r="H842" s="281"/>
      <c r="I842" s="461">
        <f>I840+I841</f>
        <v>24845.612000000001</v>
      </c>
    </row>
    <row r="843" spans="1:9" x14ac:dyDescent="0.25">
      <c r="A843" s="282"/>
      <c r="B843" s="390" t="s">
        <v>230</v>
      </c>
      <c r="C843" s="284"/>
      <c r="D843" s="427"/>
      <c r="E843" s="283"/>
      <c r="F843" s="284"/>
      <c r="G843" s="324"/>
      <c r="H843" s="325"/>
      <c r="I843" s="462">
        <f>ROUNDUP(I842,-2)</f>
        <v>24900</v>
      </c>
    </row>
    <row r="844" spans="1:9" ht="15.75" thickBot="1" x14ac:dyDescent="0.3">
      <c r="I844" s="463"/>
    </row>
    <row r="845" spans="1:9" ht="16.5" thickTop="1" thickBot="1" x14ac:dyDescent="0.3">
      <c r="A845" s="253" t="s">
        <v>3</v>
      </c>
      <c r="B845" s="381" t="s">
        <v>1375</v>
      </c>
      <c r="C845" s="376" t="s">
        <v>1370</v>
      </c>
      <c r="D845" s="418" t="s">
        <v>1371</v>
      </c>
      <c r="E845" s="376" t="s">
        <v>1372</v>
      </c>
      <c r="F845" s="376" t="s">
        <v>1374</v>
      </c>
      <c r="G845" s="254" t="s">
        <v>1373</v>
      </c>
      <c r="H845" s="255"/>
      <c r="I845" s="455" t="s">
        <v>222</v>
      </c>
    </row>
    <row r="846" spans="1:9" ht="16.5" thickTop="1" thickBot="1" x14ac:dyDescent="0.3">
      <c r="A846" s="256" t="s">
        <v>223</v>
      </c>
      <c r="B846" s="382" t="s">
        <v>224</v>
      </c>
      <c r="C846" s="340" t="s">
        <v>225</v>
      </c>
      <c r="D846" s="419" t="s">
        <v>226</v>
      </c>
      <c r="E846" s="340" t="s">
        <v>1376</v>
      </c>
      <c r="F846" s="257" t="s">
        <v>1377</v>
      </c>
      <c r="G846" s="340" t="s">
        <v>1378</v>
      </c>
      <c r="H846" s="257" t="s">
        <v>1377</v>
      </c>
      <c r="I846" s="456" t="s">
        <v>1379</v>
      </c>
    </row>
    <row r="847" spans="1:9" ht="15.75" thickTop="1" x14ac:dyDescent="0.25">
      <c r="A847" s="297"/>
      <c r="B847" s="393"/>
      <c r="C847" s="343"/>
      <c r="D847" s="447"/>
      <c r="E847" s="342"/>
      <c r="F847" s="343"/>
      <c r="G847" s="300"/>
      <c r="H847" s="344"/>
      <c r="I847" s="466"/>
    </row>
    <row r="848" spans="1:9" x14ac:dyDescent="0.25">
      <c r="A848" s="258"/>
      <c r="B848" s="383" t="s">
        <v>1261</v>
      </c>
      <c r="C848" s="261"/>
      <c r="D848" s="439"/>
      <c r="E848" s="259"/>
      <c r="F848" s="261"/>
      <c r="G848" s="262"/>
      <c r="H848" s="263"/>
      <c r="I848" s="457"/>
    </row>
    <row r="849" spans="1:9" x14ac:dyDescent="0.25">
      <c r="A849" s="268"/>
      <c r="B849" s="397"/>
      <c r="C849" s="328"/>
      <c r="D849" s="440"/>
      <c r="E849" s="269"/>
      <c r="F849" s="328"/>
      <c r="G849" s="329"/>
      <c r="H849" s="271"/>
      <c r="I849" s="474"/>
    </row>
    <row r="850" spans="1:9" x14ac:dyDescent="0.25">
      <c r="A850" s="258">
        <v>31</v>
      </c>
      <c r="B850" s="385" t="s">
        <v>1262</v>
      </c>
      <c r="C850" s="261"/>
      <c r="D850" s="422">
        <v>1</v>
      </c>
      <c r="E850" s="265" t="s">
        <v>1037</v>
      </c>
      <c r="F850" s="261"/>
      <c r="G850" s="262"/>
      <c r="H850" s="263"/>
      <c r="I850" s="457"/>
    </row>
    <row r="851" spans="1:9" x14ac:dyDescent="0.25">
      <c r="A851" s="258"/>
      <c r="B851" s="408" t="s">
        <v>1263</v>
      </c>
      <c r="C851" s="261"/>
      <c r="D851" s="448">
        <v>1</v>
      </c>
      <c r="E851" s="345" t="s">
        <v>25</v>
      </c>
      <c r="F851" s="261">
        <v>422000</v>
      </c>
      <c r="G851" s="263">
        <f>F851*D851</f>
        <v>422000</v>
      </c>
      <c r="I851" s="457"/>
    </row>
    <row r="852" spans="1:9" x14ac:dyDescent="0.25">
      <c r="A852" s="258"/>
      <c r="B852" s="408" t="s">
        <v>1264</v>
      </c>
      <c r="C852" s="261"/>
      <c r="D852" s="448">
        <v>1</v>
      </c>
      <c r="E852" s="345" t="s">
        <v>1243</v>
      </c>
      <c r="F852" s="261">
        <v>6000</v>
      </c>
      <c r="G852" s="263">
        <f>F852*D852</f>
        <v>6000</v>
      </c>
      <c r="I852" s="457"/>
    </row>
    <row r="853" spans="1:9" x14ac:dyDescent="0.25">
      <c r="A853" s="258"/>
      <c r="B853" s="408" t="s">
        <v>1265</v>
      </c>
      <c r="C853" s="261"/>
      <c r="D853" s="448">
        <v>0.1</v>
      </c>
      <c r="E853" s="345" t="s">
        <v>980</v>
      </c>
      <c r="F853" s="261">
        <f>HSM!$E$735</f>
        <v>328000</v>
      </c>
      <c r="G853" s="263">
        <f>F853*D853</f>
        <v>32800</v>
      </c>
      <c r="I853" s="457"/>
    </row>
    <row r="854" spans="1:9" x14ac:dyDescent="0.25">
      <c r="A854" s="258"/>
      <c r="B854" s="408" t="s">
        <v>1266</v>
      </c>
      <c r="C854" s="261"/>
      <c r="D854" s="448">
        <v>5</v>
      </c>
      <c r="E854" s="345" t="s">
        <v>25</v>
      </c>
      <c r="F854" s="261">
        <v>1100</v>
      </c>
      <c r="G854" s="263">
        <f>F854*D854</f>
        <v>5500</v>
      </c>
      <c r="I854" s="457"/>
    </row>
    <row r="855" spans="1:9" x14ac:dyDescent="0.25">
      <c r="A855" s="258"/>
      <c r="B855" s="408" t="s">
        <v>1267</v>
      </c>
      <c r="C855" s="261"/>
      <c r="D855" s="448">
        <v>0.1</v>
      </c>
      <c r="E855" s="345" t="s">
        <v>1271</v>
      </c>
      <c r="F855" s="261">
        <v>34900</v>
      </c>
      <c r="G855" s="263">
        <f>F855*D855</f>
        <v>3490</v>
      </c>
      <c r="I855" s="457"/>
    </row>
    <row r="856" spans="1:9" x14ac:dyDescent="0.25">
      <c r="A856" s="258"/>
      <c r="B856" s="408" t="s">
        <v>1268</v>
      </c>
      <c r="C856" s="261"/>
      <c r="D856" s="448">
        <v>1</v>
      </c>
      <c r="E856" s="345" t="s">
        <v>25</v>
      </c>
      <c r="F856" s="261">
        <f>HSM!$E$785</f>
        <v>31050</v>
      </c>
      <c r="G856" s="263">
        <f>F856*D856</f>
        <v>31050</v>
      </c>
      <c r="I856" s="457"/>
    </row>
    <row r="857" spans="1:9" x14ac:dyDescent="0.25">
      <c r="A857" s="258"/>
      <c r="B857" s="408" t="s">
        <v>1269</v>
      </c>
      <c r="C857" s="261"/>
      <c r="D857" s="448">
        <v>1</v>
      </c>
      <c r="E857" s="345" t="s">
        <v>25</v>
      </c>
      <c r="F857" s="261">
        <f>HSM!$E$768</f>
        <v>4554</v>
      </c>
      <c r="G857" s="263">
        <f>F857*D857</f>
        <v>4554</v>
      </c>
      <c r="I857" s="457"/>
    </row>
    <row r="858" spans="1:9" x14ac:dyDescent="0.25">
      <c r="A858" s="258"/>
      <c r="B858" s="408" t="s">
        <v>1270</v>
      </c>
      <c r="C858" s="261"/>
      <c r="D858" s="448">
        <v>1</v>
      </c>
      <c r="E858" s="345" t="s">
        <v>25</v>
      </c>
      <c r="F858" s="261">
        <v>12000</v>
      </c>
      <c r="G858" s="263">
        <f>F858*D858</f>
        <v>12000</v>
      </c>
      <c r="I858" s="457"/>
    </row>
    <row r="859" spans="1:9" x14ac:dyDescent="0.25">
      <c r="A859" s="258"/>
      <c r="B859" s="408" t="s">
        <v>217</v>
      </c>
      <c r="C859" s="261"/>
      <c r="D859" s="448">
        <v>0.3</v>
      </c>
      <c r="E859" s="345" t="s">
        <v>1229</v>
      </c>
      <c r="F859" s="261">
        <f>VLOOKUP($B859,HSU!$B$6:$D$38,3,FALSE)</f>
        <v>70000</v>
      </c>
      <c r="G859" s="262">
        <f>F859*D859</f>
        <v>21000</v>
      </c>
      <c r="H859" s="263"/>
      <c r="I859" s="457"/>
    </row>
    <row r="860" spans="1:9" x14ac:dyDescent="0.25">
      <c r="A860" s="258"/>
      <c r="B860" s="408" t="s">
        <v>1123</v>
      </c>
      <c r="C860" s="261"/>
      <c r="D860" s="448">
        <v>0.15</v>
      </c>
      <c r="E860" s="345" t="s">
        <v>1229</v>
      </c>
      <c r="F860" s="261">
        <f>VLOOKUP($B860,HSU!$B$6:$D$38,3,FALSE)</f>
        <v>85000</v>
      </c>
      <c r="G860" s="262">
        <f>F860*D860</f>
        <v>12750</v>
      </c>
      <c r="H860" s="263"/>
      <c r="I860" s="457"/>
    </row>
    <row r="861" spans="1:9" x14ac:dyDescent="0.25">
      <c r="A861" s="258"/>
      <c r="B861" s="408" t="s">
        <v>1124</v>
      </c>
      <c r="C861" s="261"/>
      <c r="D861" s="448">
        <v>7.4999999999999997E-2</v>
      </c>
      <c r="E861" s="345" t="s">
        <v>1229</v>
      </c>
      <c r="F861" s="261">
        <f>VLOOKUP($B861,HSU!$B$6:$D$38,3,FALSE)</f>
        <v>90000</v>
      </c>
      <c r="G861" s="262">
        <f>F861*D861</f>
        <v>6750</v>
      </c>
      <c r="H861" s="263"/>
      <c r="I861" s="457"/>
    </row>
    <row r="862" spans="1:9" x14ac:dyDescent="0.25">
      <c r="A862" s="272"/>
      <c r="B862" s="388" t="s">
        <v>222</v>
      </c>
      <c r="C862" s="274"/>
      <c r="D862" s="424"/>
      <c r="E862" s="273"/>
      <c r="F862" s="274"/>
      <c r="G862" s="275">
        <f>SUM(G851:G861)</f>
        <v>557894</v>
      </c>
      <c r="H862" s="275"/>
      <c r="I862" s="459">
        <f>G862+H862</f>
        <v>557894</v>
      </c>
    </row>
    <row r="863" spans="1:9" x14ac:dyDescent="0.25">
      <c r="A863" s="277"/>
      <c r="B863" s="389" t="s">
        <v>229</v>
      </c>
      <c r="C863" s="279"/>
      <c r="D863" s="425"/>
      <c r="E863" s="278"/>
      <c r="F863" s="279"/>
      <c r="G863" s="280"/>
      <c r="H863" s="281"/>
      <c r="I863" s="460">
        <f>I862*0.15</f>
        <v>83684.099999999991</v>
      </c>
    </row>
    <row r="864" spans="1:9" x14ac:dyDescent="0.25">
      <c r="A864" s="277"/>
      <c r="B864" s="389" t="s">
        <v>222</v>
      </c>
      <c r="C864" s="279"/>
      <c r="D864" s="426"/>
      <c r="E864" s="278"/>
      <c r="F864" s="279"/>
      <c r="G864" s="262"/>
      <c r="H864" s="281"/>
      <c r="I864" s="461">
        <f>I862+I863</f>
        <v>641578.1</v>
      </c>
    </row>
    <row r="865" spans="1:9" x14ac:dyDescent="0.25">
      <c r="A865" s="282"/>
      <c r="B865" s="390" t="s">
        <v>230</v>
      </c>
      <c r="C865" s="284"/>
      <c r="D865" s="427"/>
      <c r="E865" s="283"/>
      <c r="F865" s="284"/>
      <c r="G865" s="324"/>
      <c r="H865" s="325"/>
      <c r="I865" s="462">
        <f>ROUNDUP(I864,-2)</f>
        <v>641600</v>
      </c>
    </row>
    <row r="866" spans="1:9" x14ac:dyDescent="0.25">
      <c r="A866" s="258"/>
      <c r="B866" s="385"/>
      <c r="C866" s="261"/>
      <c r="D866" s="422"/>
      <c r="E866" s="265"/>
      <c r="F866" s="261"/>
      <c r="G866" s="262"/>
      <c r="H866" s="263"/>
      <c r="I866" s="457"/>
    </row>
    <row r="867" spans="1:9" x14ac:dyDescent="0.25">
      <c r="A867" s="258">
        <v>31</v>
      </c>
      <c r="B867" s="385" t="s">
        <v>79</v>
      </c>
      <c r="C867" s="261"/>
      <c r="D867" s="422">
        <v>1</v>
      </c>
      <c r="E867" s="265" t="s">
        <v>1037</v>
      </c>
      <c r="F867" s="261"/>
      <c r="G867" s="262"/>
      <c r="H867" s="263"/>
      <c r="I867" s="457"/>
    </row>
    <row r="868" spans="1:9" x14ac:dyDescent="0.25">
      <c r="A868" s="258"/>
      <c r="B868" s="408" t="s">
        <v>1272</v>
      </c>
      <c r="C868" s="261"/>
      <c r="D868" s="448">
        <v>1</v>
      </c>
      <c r="E868" s="345" t="s">
        <v>25</v>
      </c>
      <c r="F868" s="261">
        <v>43000</v>
      </c>
      <c r="G868" s="263">
        <f>F868*D868</f>
        <v>43000</v>
      </c>
      <c r="I868" s="457"/>
    </row>
    <row r="869" spans="1:9" x14ac:dyDescent="0.25">
      <c r="A869" s="258"/>
      <c r="B869" s="408" t="s">
        <v>1264</v>
      </c>
      <c r="C869" s="261"/>
      <c r="D869" s="448">
        <v>1</v>
      </c>
      <c r="E869" s="345" t="s">
        <v>1243</v>
      </c>
      <c r="F869" s="261">
        <v>6000</v>
      </c>
      <c r="G869" s="263">
        <f>F869*D869</f>
        <v>6000</v>
      </c>
      <c r="I869" s="457"/>
    </row>
    <row r="870" spans="1:9" x14ac:dyDescent="0.25">
      <c r="A870" s="258"/>
      <c r="B870" s="408" t="s">
        <v>1265</v>
      </c>
      <c r="C870" s="261"/>
      <c r="D870" s="448">
        <v>0.1</v>
      </c>
      <c r="E870" s="345" t="s">
        <v>980</v>
      </c>
      <c r="F870" s="261">
        <f>HSM!$E$735</f>
        <v>328000</v>
      </c>
      <c r="G870" s="263">
        <f>F870*D870</f>
        <v>32800</v>
      </c>
      <c r="I870" s="457"/>
    </row>
    <row r="871" spans="1:9" x14ac:dyDescent="0.25">
      <c r="A871" s="258"/>
      <c r="B871" s="408" t="s">
        <v>1266</v>
      </c>
      <c r="C871" s="261"/>
      <c r="D871" s="448">
        <v>5</v>
      </c>
      <c r="E871" s="345" t="s">
        <v>25</v>
      </c>
      <c r="F871" s="261">
        <v>1100</v>
      </c>
      <c r="G871" s="263">
        <f>F871*D871</f>
        <v>5500</v>
      </c>
      <c r="I871" s="457"/>
    </row>
    <row r="872" spans="1:9" x14ac:dyDescent="0.25">
      <c r="A872" s="258"/>
      <c r="B872" s="408" t="s">
        <v>1267</v>
      </c>
      <c r="C872" s="261"/>
      <c r="D872" s="448">
        <v>0.1</v>
      </c>
      <c r="E872" s="345" t="s">
        <v>1271</v>
      </c>
      <c r="F872" s="261">
        <v>34900</v>
      </c>
      <c r="G872" s="263">
        <f>F872*D872</f>
        <v>3490</v>
      </c>
      <c r="I872" s="457"/>
    </row>
    <row r="873" spans="1:9" x14ac:dyDescent="0.25">
      <c r="A873" s="258"/>
      <c r="B873" s="408" t="s">
        <v>1268</v>
      </c>
      <c r="C873" s="261"/>
      <c r="D873" s="448">
        <v>1</v>
      </c>
      <c r="E873" s="345" t="s">
        <v>25</v>
      </c>
      <c r="F873" s="261">
        <f>HSM!$E$785</f>
        <v>31050</v>
      </c>
      <c r="G873" s="263">
        <f>F873*D873</f>
        <v>31050</v>
      </c>
      <c r="I873" s="457"/>
    </row>
    <row r="874" spans="1:9" x14ac:dyDescent="0.25">
      <c r="A874" s="258"/>
      <c r="B874" s="408" t="s">
        <v>1269</v>
      </c>
      <c r="C874" s="261"/>
      <c r="D874" s="448">
        <v>1</v>
      </c>
      <c r="E874" s="345" t="s">
        <v>25</v>
      </c>
      <c r="F874" s="261">
        <f>HSM!$E$768</f>
        <v>4554</v>
      </c>
      <c r="G874" s="263">
        <f>F874*D874</f>
        <v>4554</v>
      </c>
      <c r="I874" s="457"/>
    </row>
    <row r="875" spans="1:9" x14ac:dyDescent="0.25">
      <c r="A875" s="258"/>
      <c r="B875" s="408" t="s">
        <v>1270</v>
      </c>
      <c r="C875" s="261"/>
      <c r="D875" s="448">
        <v>1</v>
      </c>
      <c r="E875" s="345" t="s">
        <v>25</v>
      </c>
      <c r="F875" s="261">
        <v>12000</v>
      </c>
      <c r="G875" s="263">
        <f>F875*D875</f>
        <v>12000</v>
      </c>
      <c r="I875" s="457"/>
    </row>
    <row r="876" spans="1:9" x14ac:dyDescent="0.25">
      <c r="A876" s="258"/>
      <c r="B876" s="408" t="s">
        <v>217</v>
      </c>
      <c r="C876" s="261"/>
      <c r="D876" s="448">
        <v>0.3</v>
      </c>
      <c r="E876" s="345" t="s">
        <v>1229</v>
      </c>
      <c r="F876" s="261">
        <f>VLOOKUP($B876,HSU!$B$6:$D$38,3,FALSE)</f>
        <v>70000</v>
      </c>
      <c r="G876" s="262">
        <f>F876*D876</f>
        <v>21000</v>
      </c>
      <c r="H876" s="263"/>
      <c r="I876" s="457"/>
    </row>
    <row r="877" spans="1:9" x14ac:dyDescent="0.25">
      <c r="A877" s="258"/>
      <c r="B877" s="408" t="s">
        <v>1123</v>
      </c>
      <c r="C877" s="261"/>
      <c r="D877" s="448">
        <v>0.15</v>
      </c>
      <c r="E877" s="345" t="s">
        <v>1229</v>
      </c>
      <c r="F877" s="261">
        <f>VLOOKUP($B877,HSU!$B$6:$D$38,3,FALSE)</f>
        <v>85000</v>
      </c>
      <c r="G877" s="262">
        <f>F877*D877</f>
        <v>12750</v>
      </c>
      <c r="H877" s="263"/>
      <c r="I877" s="457"/>
    </row>
    <row r="878" spans="1:9" x14ac:dyDescent="0.25">
      <c r="A878" s="258"/>
      <c r="B878" s="408" t="s">
        <v>1124</v>
      </c>
      <c r="C878" s="261"/>
      <c r="D878" s="448">
        <v>7.4999999999999997E-2</v>
      </c>
      <c r="E878" s="345" t="s">
        <v>1229</v>
      </c>
      <c r="F878" s="261">
        <f>VLOOKUP($B878,HSU!$B$6:$D$38,3,FALSE)</f>
        <v>90000</v>
      </c>
      <c r="G878" s="262">
        <f>F878*D878</f>
        <v>6750</v>
      </c>
      <c r="H878" s="263"/>
      <c r="I878" s="457"/>
    </row>
    <row r="879" spans="1:9" x14ac:dyDescent="0.25">
      <c r="A879" s="272"/>
      <c r="B879" s="388" t="s">
        <v>222</v>
      </c>
      <c r="C879" s="274"/>
      <c r="D879" s="424"/>
      <c r="E879" s="273"/>
      <c r="F879" s="274"/>
      <c r="G879" s="275">
        <f>SUM(G868:G878)</f>
        <v>178894</v>
      </c>
      <c r="H879" s="275"/>
      <c r="I879" s="459">
        <f>G879+H879</f>
        <v>178894</v>
      </c>
    </row>
    <row r="880" spans="1:9" x14ac:dyDescent="0.25">
      <c r="A880" s="277"/>
      <c r="B880" s="389" t="s">
        <v>229</v>
      </c>
      <c r="C880" s="279"/>
      <c r="D880" s="425"/>
      <c r="E880" s="278"/>
      <c r="F880" s="279"/>
      <c r="G880" s="280"/>
      <c r="H880" s="281"/>
      <c r="I880" s="460">
        <f>I879*0.15</f>
        <v>26834.1</v>
      </c>
    </row>
    <row r="881" spans="1:9" x14ac:dyDescent="0.25">
      <c r="A881" s="277"/>
      <c r="B881" s="389" t="s">
        <v>222</v>
      </c>
      <c r="C881" s="279"/>
      <c r="D881" s="426"/>
      <c r="E881" s="278"/>
      <c r="F881" s="279"/>
      <c r="G881" s="262"/>
      <c r="H881" s="281"/>
      <c r="I881" s="461">
        <f>I879+I880</f>
        <v>205728.1</v>
      </c>
    </row>
    <row r="882" spans="1:9" x14ac:dyDescent="0.25">
      <c r="A882" s="282"/>
      <c r="B882" s="390" t="s">
        <v>230</v>
      </c>
      <c r="C882" s="284"/>
      <c r="D882" s="427"/>
      <c r="E882" s="283"/>
      <c r="F882" s="284"/>
      <c r="G882" s="324"/>
      <c r="H882" s="325"/>
      <c r="I882" s="462">
        <f>ROUNDUP(I881,-2)</f>
        <v>205800</v>
      </c>
    </row>
    <row r="883" spans="1:9" x14ac:dyDescent="0.25">
      <c r="A883" s="258"/>
      <c r="B883" s="385"/>
      <c r="C883" s="261"/>
      <c r="D883" s="422"/>
      <c r="E883" s="265"/>
      <c r="F883" s="261"/>
      <c r="G883" s="262"/>
      <c r="H883" s="263"/>
      <c r="I883" s="457"/>
    </row>
    <row r="884" spans="1:9" x14ac:dyDescent="0.25">
      <c r="A884" s="258">
        <v>31</v>
      </c>
      <c r="B884" s="385" t="s">
        <v>80</v>
      </c>
      <c r="C884" s="261"/>
      <c r="D884" s="422">
        <v>1</v>
      </c>
      <c r="E884" s="265" t="s">
        <v>1037</v>
      </c>
      <c r="F884" s="261"/>
      <c r="G884" s="262"/>
      <c r="H884" s="263"/>
      <c r="I884" s="457"/>
    </row>
    <row r="885" spans="1:9" x14ac:dyDescent="0.25">
      <c r="A885" s="258"/>
      <c r="B885" s="408" t="s">
        <v>1273</v>
      </c>
      <c r="C885" s="261"/>
      <c r="D885" s="448">
        <v>1</v>
      </c>
      <c r="E885" s="345" t="s">
        <v>25</v>
      </c>
      <c r="F885" s="261">
        <v>159000</v>
      </c>
      <c r="G885" s="263">
        <f>F885*D885</f>
        <v>159000</v>
      </c>
      <c r="I885" s="457"/>
    </row>
    <row r="886" spans="1:9" x14ac:dyDescent="0.25">
      <c r="A886" s="258"/>
      <c r="B886" s="408" t="s">
        <v>1264</v>
      </c>
      <c r="C886" s="261"/>
      <c r="D886" s="448">
        <v>1</v>
      </c>
      <c r="E886" s="345" t="s">
        <v>1243</v>
      </c>
      <c r="F886" s="261">
        <v>6000</v>
      </c>
      <c r="G886" s="263">
        <f>F886*D886</f>
        <v>6000</v>
      </c>
      <c r="I886" s="457"/>
    </row>
    <row r="887" spans="1:9" x14ac:dyDescent="0.25">
      <c r="A887" s="258"/>
      <c r="B887" s="408" t="s">
        <v>1265</v>
      </c>
      <c r="C887" s="261"/>
      <c r="D887" s="448">
        <v>0.1</v>
      </c>
      <c r="E887" s="345" t="s">
        <v>980</v>
      </c>
      <c r="F887" s="261">
        <f>HSM!$E$735</f>
        <v>328000</v>
      </c>
      <c r="G887" s="263">
        <f>F887*D887</f>
        <v>32800</v>
      </c>
      <c r="I887" s="457"/>
    </row>
    <row r="888" spans="1:9" x14ac:dyDescent="0.25">
      <c r="A888" s="258"/>
      <c r="B888" s="408" t="s">
        <v>1266</v>
      </c>
      <c r="C888" s="261"/>
      <c r="D888" s="448">
        <v>5</v>
      </c>
      <c r="E888" s="345" t="s">
        <v>25</v>
      </c>
      <c r="F888" s="261">
        <v>1100</v>
      </c>
      <c r="G888" s="263">
        <f>F888*D888</f>
        <v>5500</v>
      </c>
      <c r="I888" s="457"/>
    </row>
    <row r="889" spans="1:9" x14ac:dyDescent="0.25">
      <c r="A889" s="258"/>
      <c r="B889" s="408" t="s">
        <v>1267</v>
      </c>
      <c r="C889" s="261"/>
      <c r="D889" s="448">
        <v>0.1</v>
      </c>
      <c r="E889" s="345" t="s">
        <v>1271</v>
      </c>
      <c r="F889" s="261">
        <v>34900</v>
      </c>
      <c r="G889" s="263">
        <f>F889*D889</f>
        <v>3490</v>
      </c>
      <c r="I889" s="457"/>
    </row>
    <row r="890" spans="1:9" x14ac:dyDescent="0.25">
      <c r="A890" s="258"/>
      <c r="B890" s="408" t="s">
        <v>1268</v>
      </c>
      <c r="C890" s="261"/>
      <c r="D890" s="448">
        <v>1</v>
      </c>
      <c r="E890" s="345" t="s">
        <v>25</v>
      </c>
      <c r="F890" s="261">
        <f>HSM!$E$785</f>
        <v>31050</v>
      </c>
      <c r="G890" s="263">
        <f>F890*D890</f>
        <v>31050</v>
      </c>
      <c r="I890" s="457"/>
    </row>
    <row r="891" spans="1:9" x14ac:dyDescent="0.25">
      <c r="A891" s="258"/>
      <c r="B891" s="408" t="s">
        <v>1269</v>
      </c>
      <c r="C891" s="261"/>
      <c r="D891" s="448">
        <v>1</v>
      </c>
      <c r="E891" s="345" t="s">
        <v>25</v>
      </c>
      <c r="F891" s="261">
        <f>HSM!$E$768</f>
        <v>4554</v>
      </c>
      <c r="G891" s="263">
        <f>F891*D891</f>
        <v>4554</v>
      </c>
      <c r="I891" s="457"/>
    </row>
    <row r="892" spans="1:9" x14ac:dyDescent="0.25">
      <c r="A892" s="258"/>
      <c r="B892" s="408" t="s">
        <v>1270</v>
      </c>
      <c r="C892" s="261"/>
      <c r="D892" s="448">
        <v>1</v>
      </c>
      <c r="E892" s="345" t="s">
        <v>25</v>
      </c>
      <c r="F892" s="261">
        <v>12000</v>
      </c>
      <c r="G892" s="263">
        <f>F892*D892</f>
        <v>12000</v>
      </c>
      <c r="I892" s="457"/>
    </row>
    <row r="893" spans="1:9" x14ac:dyDescent="0.25">
      <c r="A893" s="258"/>
      <c r="B893" s="408" t="s">
        <v>217</v>
      </c>
      <c r="C893" s="261"/>
      <c r="D893" s="448">
        <v>0.3</v>
      </c>
      <c r="E893" s="345" t="s">
        <v>1229</v>
      </c>
      <c r="F893" s="261">
        <f>VLOOKUP($B893,HSU!$B$6:$D$38,3,FALSE)</f>
        <v>70000</v>
      </c>
      <c r="G893" s="262">
        <f>F893*D893</f>
        <v>21000</v>
      </c>
      <c r="H893" s="263"/>
      <c r="I893" s="457"/>
    </row>
    <row r="894" spans="1:9" x14ac:dyDescent="0.25">
      <c r="A894" s="258"/>
      <c r="B894" s="408" t="s">
        <v>1123</v>
      </c>
      <c r="C894" s="261"/>
      <c r="D894" s="448">
        <v>0.15</v>
      </c>
      <c r="E894" s="345" t="s">
        <v>1229</v>
      </c>
      <c r="F894" s="261">
        <f>VLOOKUP($B894,HSU!$B$6:$D$38,3,FALSE)</f>
        <v>85000</v>
      </c>
      <c r="G894" s="262">
        <f>F894*D894</f>
        <v>12750</v>
      </c>
      <c r="H894" s="263"/>
      <c r="I894" s="457"/>
    </row>
    <row r="895" spans="1:9" x14ac:dyDescent="0.25">
      <c r="A895" s="258"/>
      <c r="B895" s="408" t="s">
        <v>1124</v>
      </c>
      <c r="C895" s="261"/>
      <c r="D895" s="448">
        <v>7.4999999999999997E-2</v>
      </c>
      <c r="E895" s="345" t="s">
        <v>1229</v>
      </c>
      <c r="F895" s="261">
        <f>VLOOKUP($B895,HSU!$B$6:$D$38,3,FALSE)</f>
        <v>90000</v>
      </c>
      <c r="G895" s="262">
        <f>F895*D895</f>
        <v>6750</v>
      </c>
      <c r="H895" s="263"/>
      <c r="I895" s="457"/>
    </row>
    <row r="896" spans="1:9" x14ac:dyDescent="0.25">
      <c r="A896" s="272"/>
      <c r="B896" s="388" t="s">
        <v>222</v>
      </c>
      <c r="C896" s="274"/>
      <c r="D896" s="424"/>
      <c r="E896" s="273"/>
      <c r="F896" s="274"/>
      <c r="G896" s="275">
        <f>SUM(G885:G895)</f>
        <v>294894</v>
      </c>
      <c r="H896" s="275"/>
      <c r="I896" s="459">
        <f>G896+H896</f>
        <v>294894</v>
      </c>
    </row>
    <row r="897" spans="1:9" x14ac:dyDescent="0.25">
      <c r="A897" s="277"/>
      <c r="B897" s="389" t="s">
        <v>229</v>
      </c>
      <c r="C897" s="279"/>
      <c r="D897" s="425"/>
      <c r="E897" s="278"/>
      <c r="F897" s="279"/>
      <c r="G897" s="280"/>
      <c r="H897" s="281"/>
      <c r="I897" s="460">
        <f>I896*0.15</f>
        <v>44234.1</v>
      </c>
    </row>
    <row r="898" spans="1:9" x14ac:dyDescent="0.25">
      <c r="A898" s="277"/>
      <c r="B898" s="389" t="s">
        <v>222</v>
      </c>
      <c r="C898" s="279"/>
      <c r="D898" s="426"/>
      <c r="E898" s="278"/>
      <c r="F898" s="279"/>
      <c r="G898" s="262"/>
      <c r="H898" s="281"/>
      <c r="I898" s="461">
        <f>I896+I897</f>
        <v>339128.1</v>
      </c>
    </row>
    <row r="899" spans="1:9" x14ac:dyDescent="0.25">
      <c r="A899" s="282"/>
      <c r="B899" s="390" t="s">
        <v>230</v>
      </c>
      <c r="C899" s="284"/>
      <c r="D899" s="427"/>
      <c r="E899" s="283"/>
      <c r="F899" s="284"/>
      <c r="G899" s="324"/>
      <c r="H899" s="325"/>
      <c r="I899" s="462">
        <f>ROUNDUP(I898,-2)</f>
        <v>339200</v>
      </c>
    </row>
    <row r="900" spans="1:9" x14ac:dyDescent="0.25">
      <c r="A900" s="258"/>
      <c r="B900" s="385"/>
      <c r="C900" s="261"/>
      <c r="D900" s="422"/>
      <c r="E900" s="265"/>
      <c r="F900" s="261"/>
      <c r="G900" s="262"/>
      <c r="H900" s="263"/>
      <c r="I900" s="457"/>
    </row>
    <row r="901" spans="1:9" x14ac:dyDescent="0.25">
      <c r="A901" s="258">
        <v>31</v>
      </c>
      <c r="B901" s="385" t="s">
        <v>81</v>
      </c>
      <c r="C901" s="261"/>
      <c r="D901" s="422">
        <v>1</v>
      </c>
      <c r="E901" s="265" t="s">
        <v>1037</v>
      </c>
      <c r="F901" s="261"/>
      <c r="G901" s="262"/>
      <c r="H901" s="263"/>
      <c r="I901" s="457"/>
    </row>
    <row r="902" spans="1:9" x14ac:dyDescent="0.25">
      <c r="A902" s="258"/>
      <c r="B902" s="408" t="s">
        <v>1274</v>
      </c>
      <c r="C902" s="261"/>
      <c r="D902" s="448">
        <v>1</v>
      </c>
      <c r="E902" s="345" t="s">
        <v>25</v>
      </c>
      <c r="F902" s="261">
        <v>75000</v>
      </c>
      <c r="G902" s="263">
        <f>F902*D902</f>
        <v>75000</v>
      </c>
      <c r="I902" s="457"/>
    </row>
    <row r="903" spans="1:9" x14ac:dyDescent="0.25">
      <c r="A903" s="258"/>
      <c r="B903" s="408" t="s">
        <v>1264</v>
      </c>
      <c r="C903" s="261"/>
      <c r="D903" s="448">
        <v>1</v>
      </c>
      <c r="E903" s="345" t="s">
        <v>1243</v>
      </c>
      <c r="F903" s="261">
        <v>6000</v>
      </c>
      <c r="G903" s="263">
        <f>F903*D903</f>
        <v>6000</v>
      </c>
      <c r="I903" s="457"/>
    </row>
    <row r="904" spans="1:9" x14ac:dyDescent="0.25">
      <c r="A904" s="258"/>
      <c r="B904" s="408" t="s">
        <v>1265</v>
      </c>
      <c r="C904" s="261"/>
      <c r="D904" s="448">
        <v>0.1</v>
      </c>
      <c r="E904" s="345" t="s">
        <v>980</v>
      </c>
      <c r="F904" s="261">
        <f>HSM!$E$735</f>
        <v>328000</v>
      </c>
      <c r="G904" s="263">
        <f>F904*D904</f>
        <v>32800</v>
      </c>
      <c r="I904" s="457"/>
    </row>
    <row r="905" spans="1:9" x14ac:dyDescent="0.25">
      <c r="A905" s="258"/>
      <c r="B905" s="408" t="s">
        <v>1266</v>
      </c>
      <c r="C905" s="261"/>
      <c r="D905" s="448">
        <v>5</v>
      </c>
      <c r="E905" s="345" t="s">
        <v>25</v>
      </c>
      <c r="F905" s="261">
        <v>1100</v>
      </c>
      <c r="G905" s="263">
        <f>F905*D905</f>
        <v>5500</v>
      </c>
      <c r="I905" s="457"/>
    </row>
    <row r="906" spans="1:9" x14ac:dyDescent="0.25">
      <c r="A906" s="258"/>
      <c r="B906" s="408" t="s">
        <v>1267</v>
      </c>
      <c r="C906" s="261"/>
      <c r="D906" s="448">
        <v>0.1</v>
      </c>
      <c r="E906" s="345" t="s">
        <v>1271</v>
      </c>
      <c r="F906" s="261">
        <v>34900</v>
      </c>
      <c r="G906" s="263">
        <f>F906*D906</f>
        <v>3490</v>
      </c>
      <c r="I906" s="457"/>
    </row>
    <row r="907" spans="1:9" x14ac:dyDescent="0.25">
      <c r="A907" s="258"/>
      <c r="B907" s="408" t="s">
        <v>1268</v>
      </c>
      <c r="C907" s="261"/>
      <c r="D907" s="448">
        <v>1</v>
      </c>
      <c r="E907" s="345" t="s">
        <v>25</v>
      </c>
      <c r="F907" s="261">
        <f>HSM!$E$785</f>
        <v>31050</v>
      </c>
      <c r="G907" s="263">
        <f>F907*D907</f>
        <v>31050</v>
      </c>
      <c r="I907" s="457"/>
    </row>
    <row r="908" spans="1:9" x14ac:dyDescent="0.25">
      <c r="A908" s="258"/>
      <c r="B908" s="408" t="s">
        <v>1269</v>
      </c>
      <c r="C908" s="261"/>
      <c r="D908" s="448">
        <v>1</v>
      </c>
      <c r="E908" s="345" t="s">
        <v>25</v>
      </c>
      <c r="F908" s="261">
        <f>HSM!$E$768</f>
        <v>4554</v>
      </c>
      <c r="G908" s="263">
        <f>F908*D908</f>
        <v>4554</v>
      </c>
      <c r="I908" s="457"/>
    </row>
    <row r="909" spans="1:9" x14ac:dyDescent="0.25">
      <c r="A909" s="258"/>
      <c r="B909" s="408" t="s">
        <v>1270</v>
      </c>
      <c r="C909" s="261"/>
      <c r="D909" s="448">
        <v>1</v>
      </c>
      <c r="E909" s="345" t="s">
        <v>25</v>
      </c>
      <c r="F909" s="261">
        <v>12000</v>
      </c>
      <c r="G909" s="263">
        <f>F909*D909</f>
        <v>12000</v>
      </c>
      <c r="I909" s="457"/>
    </row>
    <row r="910" spans="1:9" x14ac:dyDescent="0.25">
      <c r="A910" s="258"/>
      <c r="B910" s="408" t="s">
        <v>217</v>
      </c>
      <c r="C910" s="261"/>
      <c r="D910" s="448">
        <v>0.3</v>
      </c>
      <c r="E910" s="345" t="s">
        <v>1229</v>
      </c>
      <c r="F910" s="261">
        <f>VLOOKUP($B910,HSU!$B$6:$D$38,3,FALSE)</f>
        <v>70000</v>
      </c>
      <c r="G910" s="262">
        <f>F910*D910</f>
        <v>21000</v>
      </c>
      <c r="H910" s="263"/>
      <c r="I910" s="457"/>
    </row>
    <row r="911" spans="1:9" x14ac:dyDescent="0.25">
      <c r="A911" s="258"/>
      <c r="B911" s="408" t="s">
        <v>1123</v>
      </c>
      <c r="C911" s="261"/>
      <c r="D911" s="448">
        <v>0.15</v>
      </c>
      <c r="E911" s="345" t="s">
        <v>1229</v>
      </c>
      <c r="F911" s="261">
        <f>VLOOKUP($B911,HSU!$B$6:$D$38,3,FALSE)</f>
        <v>85000</v>
      </c>
      <c r="G911" s="262">
        <f>F911*D911</f>
        <v>12750</v>
      </c>
      <c r="H911" s="263"/>
      <c r="I911" s="457"/>
    </row>
    <row r="912" spans="1:9" x14ac:dyDescent="0.25">
      <c r="A912" s="258"/>
      <c r="B912" s="408" t="s">
        <v>1124</v>
      </c>
      <c r="C912" s="261"/>
      <c r="D912" s="448">
        <v>7.4999999999999997E-2</v>
      </c>
      <c r="E912" s="345" t="s">
        <v>1229</v>
      </c>
      <c r="F912" s="261">
        <f>VLOOKUP($B912,HSU!$B$6:$D$38,3,FALSE)</f>
        <v>90000</v>
      </c>
      <c r="G912" s="262">
        <f>F912*D912</f>
        <v>6750</v>
      </c>
      <c r="H912" s="263"/>
      <c r="I912" s="457"/>
    </row>
    <row r="913" spans="1:9" x14ac:dyDescent="0.25">
      <c r="A913" s="272"/>
      <c r="B913" s="388" t="s">
        <v>222</v>
      </c>
      <c r="C913" s="274"/>
      <c r="D913" s="424"/>
      <c r="E913" s="273"/>
      <c r="F913" s="274"/>
      <c r="G913" s="275">
        <f>SUM(G902:G912)</f>
        <v>210894</v>
      </c>
      <c r="H913" s="275"/>
      <c r="I913" s="459">
        <f>G913+H913</f>
        <v>210894</v>
      </c>
    </row>
    <row r="914" spans="1:9" x14ac:dyDescent="0.25">
      <c r="A914" s="277"/>
      <c r="B914" s="389" t="s">
        <v>229</v>
      </c>
      <c r="C914" s="279"/>
      <c r="D914" s="425"/>
      <c r="E914" s="278"/>
      <c r="F914" s="279"/>
      <c r="G914" s="280"/>
      <c r="H914" s="281"/>
      <c r="I914" s="460">
        <f>I913*0.15</f>
        <v>31634.1</v>
      </c>
    </row>
    <row r="915" spans="1:9" x14ac:dyDescent="0.25">
      <c r="A915" s="277"/>
      <c r="B915" s="389" t="s">
        <v>222</v>
      </c>
      <c r="C915" s="279"/>
      <c r="D915" s="426"/>
      <c r="E915" s="278"/>
      <c r="F915" s="279"/>
      <c r="G915" s="262"/>
      <c r="H915" s="281"/>
      <c r="I915" s="461">
        <f>I913+I914</f>
        <v>242528.1</v>
      </c>
    </row>
    <row r="916" spans="1:9" x14ac:dyDescent="0.25">
      <c r="A916" s="282"/>
      <c r="B916" s="390" t="s">
        <v>230</v>
      </c>
      <c r="C916" s="284"/>
      <c r="D916" s="427"/>
      <c r="E916" s="283"/>
      <c r="F916" s="284"/>
      <c r="G916" s="324"/>
      <c r="H916" s="325"/>
      <c r="I916" s="462">
        <f>ROUNDUP(I915,-2)</f>
        <v>242600</v>
      </c>
    </row>
    <row r="917" spans="1:9" x14ac:dyDescent="0.25">
      <c r="A917" s="258"/>
      <c r="B917" s="385"/>
      <c r="C917" s="261"/>
      <c r="D917" s="422"/>
      <c r="E917" s="265"/>
      <c r="F917" s="261"/>
      <c r="G917" s="262"/>
      <c r="H917" s="263"/>
      <c r="I917" s="457"/>
    </row>
    <row r="918" spans="1:9" x14ac:dyDescent="0.25">
      <c r="A918" s="258">
        <v>31</v>
      </c>
      <c r="B918" s="385" t="s">
        <v>1275</v>
      </c>
      <c r="C918" s="261"/>
      <c r="D918" s="422">
        <v>1</v>
      </c>
      <c r="E918" s="265" t="s">
        <v>1037</v>
      </c>
      <c r="F918" s="261"/>
      <c r="G918" s="262"/>
      <c r="H918" s="263"/>
      <c r="I918" s="457"/>
    </row>
    <row r="919" spans="1:9" x14ac:dyDescent="0.25">
      <c r="A919" s="258"/>
      <c r="B919" s="408" t="s">
        <v>1276</v>
      </c>
      <c r="C919" s="261"/>
      <c r="D919" s="448">
        <v>1</v>
      </c>
      <c r="E919" s="345" t="s">
        <v>25</v>
      </c>
      <c r="F919" s="261">
        <v>20000</v>
      </c>
      <c r="G919" s="263">
        <f>F919*D919</f>
        <v>20000</v>
      </c>
      <c r="I919" s="457"/>
    </row>
    <row r="920" spans="1:9" x14ac:dyDescent="0.25">
      <c r="A920" s="258"/>
      <c r="B920" s="408" t="s">
        <v>1264</v>
      </c>
      <c r="C920" s="261"/>
      <c r="D920" s="448">
        <v>1</v>
      </c>
      <c r="E920" s="345" t="s">
        <v>1243</v>
      </c>
      <c r="F920" s="261">
        <v>6000</v>
      </c>
      <c r="G920" s="263">
        <f>F920*D920</f>
        <v>6000</v>
      </c>
      <c r="I920" s="457"/>
    </row>
    <row r="921" spans="1:9" x14ac:dyDescent="0.25">
      <c r="A921" s="258"/>
      <c r="B921" s="408" t="s">
        <v>1265</v>
      </c>
      <c r="C921" s="261"/>
      <c r="D921" s="448">
        <v>0.1</v>
      </c>
      <c r="E921" s="345" t="s">
        <v>980</v>
      </c>
      <c r="F921" s="261">
        <f>HSM!$E$735</f>
        <v>328000</v>
      </c>
      <c r="G921" s="263">
        <f>F921*D921</f>
        <v>32800</v>
      </c>
      <c r="I921" s="457"/>
    </row>
    <row r="922" spans="1:9" x14ac:dyDescent="0.25">
      <c r="A922" s="258"/>
      <c r="B922" s="408" t="s">
        <v>1266</v>
      </c>
      <c r="C922" s="261"/>
      <c r="D922" s="448">
        <v>5</v>
      </c>
      <c r="E922" s="345" t="s">
        <v>25</v>
      </c>
      <c r="F922" s="261">
        <v>1100</v>
      </c>
      <c r="G922" s="263">
        <f>F922*D922</f>
        <v>5500</v>
      </c>
      <c r="I922" s="457"/>
    </row>
    <row r="923" spans="1:9" x14ac:dyDescent="0.25">
      <c r="A923" s="258"/>
      <c r="B923" s="408" t="s">
        <v>1267</v>
      </c>
      <c r="C923" s="261"/>
      <c r="D923" s="448">
        <v>0.1</v>
      </c>
      <c r="E923" s="345" t="s">
        <v>1271</v>
      </c>
      <c r="F923" s="261">
        <v>34900</v>
      </c>
      <c r="G923" s="263">
        <f>F923*D923</f>
        <v>3490</v>
      </c>
      <c r="I923" s="457"/>
    </row>
    <row r="924" spans="1:9" x14ac:dyDescent="0.25">
      <c r="A924" s="258"/>
      <c r="B924" s="408" t="s">
        <v>1268</v>
      </c>
      <c r="C924" s="261"/>
      <c r="D924" s="448">
        <v>1</v>
      </c>
      <c r="E924" s="345" t="s">
        <v>25</v>
      </c>
      <c r="F924" s="261">
        <f>HSM!$E$785</f>
        <v>31050</v>
      </c>
      <c r="G924" s="263">
        <f>F924*D924</f>
        <v>31050</v>
      </c>
      <c r="I924" s="457"/>
    </row>
    <row r="925" spans="1:9" x14ac:dyDescent="0.25">
      <c r="A925" s="258"/>
      <c r="B925" s="408" t="s">
        <v>1269</v>
      </c>
      <c r="C925" s="261"/>
      <c r="D925" s="448">
        <v>1</v>
      </c>
      <c r="E925" s="345" t="s">
        <v>25</v>
      </c>
      <c r="F925" s="261">
        <f>HSM!$E$768</f>
        <v>4554</v>
      </c>
      <c r="G925" s="263">
        <f>F925*D925</f>
        <v>4554</v>
      </c>
      <c r="I925" s="457"/>
    </row>
    <row r="926" spans="1:9" x14ac:dyDescent="0.25">
      <c r="A926" s="258"/>
      <c r="B926" s="408" t="s">
        <v>1270</v>
      </c>
      <c r="C926" s="261"/>
      <c r="D926" s="448">
        <v>1</v>
      </c>
      <c r="E926" s="345" t="s">
        <v>25</v>
      </c>
      <c r="F926" s="261">
        <v>12000</v>
      </c>
      <c r="G926" s="263">
        <f>F926*D926</f>
        <v>12000</v>
      </c>
      <c r="I926" s="457"/>
    </row>
    <row r="927" spans="1:9" x14ac:dyDescent="0.25">
      <c r="A927" s="258"/>
      <c r="B927" s="408" t="s">
        <v>217</v>
      </c>
      <c r="C927" s="261"/>
      <c r="D927" s="448">
        <v>0.3</v>
      </c>
      <c r="E927" s="345" t="s">
        <v>1229</v>
      </c>
      <c r="F927" s="261">
        <f>VLOOKUP($B927,HSU!$B$6:$D$38,3,FALSE)</f>
        <v>70000</v>
      </c>
      <c r="G927" s="262">
        <f>F927*D927</f>
        <v>21000</v>
      </c>
      <c r="H927" s="263"/>
      <c r="I927" s="457"/>
    </row>
    <row r="928" spans="1:9" x14ac:dyDescent="0.25">
      <c r="A928" s="258"/>
      <c r="B928" s="408" t="s">
        <v>1123</v>
      </c>
      <c r="C928" s="261"/>
      <c r="D928" s="448">
        <v>0.15</v>
      </c>
      <c r="E928" s="345" t="s">
        <v>1229</v>
      </c>
      <c r="F928" s="261">
        <f>VLOOKUP($B928,HSU!$B$6:$D$38,3,FALSE)</f>
        <v>85000</v>
      </c>
      <c r="G928" s="262">
        <f>F928*D928</f>
        <v>12750</v>
      </c>
      <c r="H928" s="263"/>
      <c r="I928" s="457"/>
    </row>
    <row r="929" spans="1:9" x14ac:dyDescent="0.25">
      <c r="A929" s="258"/>
      <c r="B929" s="408" t="s">
        <v>1124</v>
      </c>
      <c r="C929" s="261"/>
      <c r="D929" s="448">
        <v>7.4999999999999997E-2</v>
      </c>
      <c r="E929" s="345" t="s">
        <v>1229</v>
      </c>
      <c r="F929" s="261">
        <f>VLOOKUP($B929,HSU!$B$6:$D$38,3,FALSE)</f>
        <v>90000</v>
      </c>
      <c r="G929" s="262">
        <f>F929*D929</f>
        <v>6750</v>
      </c>
      <c r="H929" s="263"/>
      <c r="I929" s="457"/>
    </row>
    <row r="930" spans="1:9" x14ac:dyDescent="0.25">
      <c r="A930" s="272"/>
      <c r="B930" s="388" t="s">
        <v>222</v>
      </c>
      <c r="C930" s="274"/>
      <c r="D930" s="424"/>
      <c r="E930" s="273"/>
      <c r="F930" s="274"/>
      <c r="G930" s="275">
        <f>SUM(G919:G929)</f>
        <v>155894</v>
      </c>
      <c r="H930" s="275"/>
      <c r="I930" s="459">
        <f>G930+H930</f>
        <v>155894</v>
      </c>
    </row>
    <row r="931" spans="1:9" x14ac:dyDescent="0.25">
      <c r="A931" s="277"/>
      <c r="B931" s="389" t="s">
        <v>229</v>
      </c>
      <c r="C931" s="279"/>
      <c r="D931" s="425"/>
      <c r="E931" s="278"/>
      <c r="F931" s="279"/>
      <c r="G931" s="280"/>
      <c r="H931" s="281"/>
      <c r="I931" s="460">
        <f>I930*0.15</f>
        <v>23384.1</v>
      </c>
    </row>
    <row r="932" spans="1:9" x14ac:dyDescent="0.25">
      <c r="A932" s="277"/>
      <c r="B932" s="389" t="s">
        <v>222</v>
      </c>
      <c r="C932" s="279"/>
      <c r="D932" s="426"/>
      <c r="E932" s="278"/>
      <c r="F932" s="279"/>
      <c r="G932" s="262"/>
      <c r="H932" s="281"/>
      <c r="I932" s="461">
        <f>I930+I931</f>
        <v>179278.1</v>
      </c>
    </row>
    <row r="933" spans="1:9" x14ac:dyDescent="0.25">
      <c r="A933" s="282"/>
      <c r="B933" s="390" t="s">
        <v>230</v>
      </c>
      <c r="C933" s="284"/>
      <c r="D933" s="427"/>
      <c r="E933" s="283"/>
      <c r="F933" s="284"/>
      <c r="G933" s="324"/>
      <c r="H933" s="325"/>
      <c r="I933" s="462">
        <f>ROUNDUP(I932,-2)</f>
        <v>179300</v>
      </c>
    </row>
    <row r="934" spans="1:9" x14ac:dyDescent="0.25">
      <c r="A934" s="258"/>
      <c r="B934" s="385"/>
      <c r="C934" s="261"/>
      <c r="D934" s="422"/>
      <c r="E934" s="265"/>
      <c r="F934" s="261"/>
      <c r="G934" s="262"/>
      <c r="H934" s="263"/>
      <c r="I934" s="457"/>
    </row>
    <row r="935" spans="1:9" x14ac:dyDescent="0.25">
      <c r="A935" s="258">
        <v>31</v>
      </c>
      <c r="B935" s="385" t="s">
        <v>1277</v>
      </c>
      <c r="C935" s="261"/>
      <c r="D935" s="422">
        <v>1</v>
      </c>
      <c r="E935" s="265" t="s">
        <v>1037</v>
      </c>
      <c r="F935" s="261"/>
      <c r="G935" s="262"/>
      <c r="H935" s="263"/>
      <c r="I935" s="457"/>
    </row>
    <row r="936" spans="1:9" x14ac:dyDescent="0.25">
      <c r="A936" s="258"/>
      <c r="B936" s="408" t="s">
        <v>1278</v>
      </c>
      <c r="C936" s="261"/>
      <c r="D936" s="448">
        <v>1</v>
      </c>
      <c r="E936" s="345" t="s">
        <v>25</v>
      </c>
      <c r="F936" s="261">
        <v>750000</v>
      </c>
      <c r="G936" s="263">
        <f>F936*D936</f>
        <v>750000</v>
      </c>
      <c r="I936" s="457"/>
    </row>
    <row r="937" spans="1:9" x14ac:dyDescent="0.25">
      <c r="A937" s="258"/>
      <c r="B937" s="408" t="s">
        <v>1264</v>
      </c>
      <c r="C937" s="261"/>
      <c r="D937" s="448">
        <v>1</v>
      </c>
      <c r="E937" s="345" t="s">
        <v>1243</v>
      </c>
      <c r="F937" s="261">
        <v>6000</v>
      </c>
      <c r="G937" s="263">
        <f>F937*D937</f>
        <v>6000</v>
      </c>
      <c r="I937" s="457"/>
    </row>
    <row r="938" spans="1:9" x14ac:dyDescent="0.25">
      <c r="A938" s="258"/>
      <c r="B938" s="408" t="s">
        <v>1265</v>
      </c>
      <c r="C938" s="261"/>
      <c r="D938" s="448">
        <v>0.1</v>
      </c>
      <c r="E938" s="345" t="s">
        <v>980</v>
      </c>
      <c r="F938" s="261">
        <f>HSM!$E$735</f>
        <v>328000</v>
      </c>
      <c r="G938" s="263">
        <f>F938*D938</f>
        <v>32800</v>
      </c>
      <c r="I938" s="457"/>
    </row>
    <row r="939" spans="1:9" x14ac:dyDescent="0.25">
      <c r="A939" s="258"/>
      <c r="B939" s="408" t="s">
        <v>1266</v>
      </c>
      <c r="C939" s="261"/>
      <c r="D939" s="448">
        <v>5</v>
      </c>
      <c r="E939" s="345" t="s">
        <v>25</v>
      </c>
      <c r="F939" s="261">
        <v>1100</v>
      </c>
      <c r="G939" s="263">
        <f>F939*D939</f>
        <v>5500</v>
      </c>
      <c r="I939" s="457"/>
    </row>
    <row r="940" spans="1:9" x14ac:dyDescent="0.25">
      <c r="A940" s="258"/>
      <c r="B940" s="408" t="s">
        <v>1267</v>
      </c>
      <c r="C940" s="261"/>
      <c r="D940" s="448">
        <v>0.1</v>
      </c>
      <c r="E940" s="345" t="s">
        <v>1271</v>
      </c>
      <c r="F940" s="261">
        <v>34900</v>
      </c>
      <c r="G940" s="263">
        <f>F940*D940</f>
        <v>3490</v>
      </c>
      <c r="I940" s="457"/>
    </row>
    <row r="941" spans="1:9" x14ac:dyDescent="0.25">
      <c r="A941" s="258"/>
      <c r="B941" s="408" t="s">
        <v>1268</v>
      </c>
      <c r="C941" s="261"/>
      <c r="D941" s="448">
        <v>1</v>
      </c>
      <c r="E941" s="345" t="s">
        <v>25</v>
      </c>
      <c r="F941" s="261">
        <f>HSM!$E$785</f>
        <v>31050</v>
      </c>
      <c r="G941" s="263">
        <f>F941*D941</f>
        <v>31050</v>
      </c>
      <c r="I941" s="457"/>
    </row>
    <row r="942" spans="1:9" x14ac:dyDescent="0.25">
      <c r="A942" s="258"/>
      <c r="B942" s="408" t="s">
        <v>1269</v>
      </c>
      <c r="C942" s="261"/>
      <c r="D942" s="448">
        <v>1</v>
      </c>
      <c r="E942" s="345" t="s">
        <v>25</v>
      </c>
      <c r="F942" s="261">
        <f>HSM!$E$768</f>
        <v>4554</v>
      </c>
      <c r="G942" s="263">
        <f>F942*D942</f>
        <v>4554</v>
      </c>
      <c r="I942" s="457"/>
    </row>
    <row r="943" spans="1:9" x14ac:dyDescent="0.25">
      <c r="A943" s="258"/>
      <c r="B943" s="408" t="s">
        <v>1270</v>
      </c>
      <c r="C943" s="261"/>
      <c r="D943" s="448">
        <v>1</v>
      </c>
      <c r="E943" s="345" t="s">
        <v>25</v>
      </c>
      <c r="F943" s="261">
        <v>12000</v>
      </c>
      <c r="G943" s="263">
        <f>F943*D943</f>
        <v>12000</v>
      </c>
      <c r="I943" s="457"/>
    </row>
    <row r="944" spans="1:9" x14ac:dyDescent="0.25">
      <c r="A944" s="258"/>
      <c r="B944" s="408" t="s">
        <v>217</v>
      </c>
      <c r="C944" s="261"/>
      <c r="D944" s="448">
        <v>0.3</v>
      </c>
      <c r="E944" s="345" t="s">
        <v>1229</v>
      </c>
      <c r="F944" s="261">
        <f>VLOOKUP($B944,HSU!$B$6:$D$38,3,FALSE)</f>
        <v>70000</v>
      </c>
      <c r="G944" s="262">
        <f>F944*D944</f>
        <v>21000</v>
      </c>
      <c r="H944" s="263"/>
      <c r="I944" s="457"/>
    </row>
    <row r="945" spans="1:9" x14ac:dyDescent="0.25">
      <c r="A945" s="258"/>
      <c r="B945" s="408" t="s">
        <v>1123</v>
      </c>
      <c r="C945" s="261"/>
      <c r="D945" s="448">
        <v>0.15</v>
      </c>
      <c r="E945" s="345" t="s">
        <v>1229</v>
      </c>
      <c r="F945" s="261">
        <f>VLOOKUP($B945,HSU!$B$6:$D$38,3,FALSE)</f>
        <v>85000</v>
      </c>
      <c r="G945" s="262">
        <f>F945*D945</f>
        <v>12750</v>
      </c>
      <c r="H945" s="263"/>
      <c r="I945" s="457"/>
    </row>
    <row r="946" spans="1:9" x14ac:dyDescent="0.25">
      <c r="A946" s="258"/>
      <c r="B946" s="408" t="s">
        <v>1124</v>
      </c>
      <c r="C946" s="261"/>
      <c r="D946" s="448">
        <v>7.4999999999999997E-2</v>
      </c>
      <c r="E946" s="345" t="s">
        <v>1229</v>
      </c>
      <c r="F946" s="261">
        <f>VLOOKUP($B946,HSU!$B$6:$D$38,3,FALSE)</f>
        <v>90000</v>
      </c>
      <c r="G946" s="262">
        <f>F946*D946</f>
        <v>6750</v>
      </c>
      <c r="H946" s="263"/>
      <c r="I946" s="457"/>
    </row>
    <row r="947" spans="1:9" x14ac:dyDescent="0.25">
      <c r="A947" s="272"/>
      <c r="B947" s="388" t="s">
        <v>222</v>
      </c>
      <c r="C947" s="274"/>
      <c r="D947" s="424"/>
      <c r="E947" s="273"/>
      <c r="F947" s="274"/>
      <c r="G947" s="275">
        <f>SUM(G936:G946)</f>
        <v>885894</v>
      </c>
      <c r="H947" s="275"/>
      <c r="I947" s="459">
        <f>G947+H947</f>
        <v>885894</v>
      </c>
    </row>
    <row r="948" spans="1:9" x14ac:dyDescent="0.25">
      <c r="A948" s="277"/>
      <c r="B948" s="389" t="s">
        <v>229</v>
      </c>
      <c r="C948" s="279"/>
      <c r="D948" s="425"/>
      <c r="E948" s="278"/>
      <c r="F948" s="279"/>
      <c r="G948" s="280"/>
      <c r="H948" s="281"/>
      <c r="I948" s="460">
        <f>I947*0.15</f>
        <v>132884.1</v>
      </c>
    </row>
    <row r="949" spans="1:9" x14ac:dyDescent="0.25">
      <c r="A949" s="277"/>
      <c r="B949" s="389" t="s">
        <v>222</v>
      </c>
      <c r="C949" s="279"/>
      <c r="D949" s="426"/>
      <c r="E949" s="278"/>
      <c r="F949" s="279"/>
      <c r="G949" s="262"/>
      <c r="H949" s="281"/>
      <c r="I949" s="461">
        <f>I947+I948</f>
        <v>1018778.1</v>
      </c>
    </row>
    <row r="950" spans="1:9" x14ac:dyDescent="0.25">
      <c r="A950" s="282"/>
      <c r="B950" s="390" t="s">
        <v>230</v>
      </c>
      <c r="C950" s="284"/>
      <c r="D950" s="427"/>
      <c r="E950" s="283"/>
      <c r="F950" s="284"/>
      <c r="G950" s="324"/>
      <c r="H950" s="325"/>
      <c r="I950" s="462">
        <f>ROUNDUP(I949,-2)</f>
        <v>1018800</v>
      </c>
    </row>
    <row r="951" spans="1:9" x14ac:dyDescent="0.25">
      <c r="A951" s="258"/>
      <c r="B951" s="385"/>
      <c r="C951" s="261"/>
      <c r="D951" s="422"/>
      <c r="E951" s="265"/>
      <c r="F951" s="261"/>
      <c r="G951" s="262"/>
      <c r="H951" s="263"/>
      <c r="I951" s="457"/>
    </row>
    <row r="952" spans="1:9" x14ac:dyDescent="0.25">
      <c r="A952" s="258">
        <v>31</v>
      </c>
      <c r="B952" s="385" t="s">
        <v>84</v>
      </c>
      <c r="C952" s="261"/>
      <c r="D952" s="422">
        <v>1</v>
      </c>
      <c r="E952" s="265" t="s">
        <v>1037</v>
      </c>
      <c r="F952" s="261"/>
      <c r="G952" s="262"/>
      <c r="H952" s="263"/>
      <c r="I952" s="457"/>
    </row>
    <row r="953" spans="1:9" x14ac:dyDescent="0.25">
      <c r="A953" s="258"/>
      <c r="B953" s="408" t="s">
        <v>1264</v>
      </c>
      <c r="C953" s="261"/>
      <c r="D953" s="448">
        <v>1</v>
      </c>
      <c r="E953" s="345" t="s">
        <v>1243</v>
      </c>
      <c r="F953" s="261">
        <v>6000</v>
      </c>
      <c r="G953" s="263">
        <f>F953*D953</f>
        <v>6000</v>
      </c>
      <c r="I953" s="457"/>
    </row>
    <row r="954" spans="1:9" x14ac:dyDescent="0.25">
      <c r="A954" s="258"/>
      <c r="B954" s="408" t="s">
        <v>1265</v>
      </c>
      <c r="C954" s="261"/>
      <c r="D954" s="448">
        <v>0.1</v>
      </c>
      <c r="E954" s="345" t="s">
        <v>980</v>
      </c>
      <c r="F954" s="261">
        <f>HSM!$E$735</f>
        <v>328000</v>
      </c>
      <c r="G954" s="263">
        <f>F954*D954</f>
        <v>32800</v>
      </c>
      <c r="I954" s="457"/>
    </row>
    <row r="955" spans="1:9" x14ac:dyDescent="0.25">
      <c r="A955" s="258"/>
      <c r="B955" s="408" t="s">
        <v>1266</v>
      </c>
      <c r="C955" s="261"/>
      <c r="D955" s="448">
        <v>5</v>
      </c>
      <c r="E955" s="345" t="s">
        <v>25</v>
      </c>
      <c r="F955" s="261">
        <v>1100</v>
      </c>
      <c r="G955" s="263">
        <f>F955*D955</f>
        <v>5500</v>
      </c>
      <c r="I955" s="457"/>
    </row>
    <row r="956" spans="1:9" x14ac:dyDescent="0.25">
      <c r="A956" s="258"/>
      <c r="B956" s="408" t="s">
        <v>1267</v>
      </c>
      <c r="C956" s="261"/>
      <c r="D956" s="448">
        <v>0.1</v>
      </c>
      <c r="E956" s="345" t="s">
        <v>1271</v>
      </c>
      <c r="F956" s="261">
        <v>34900</v>
      </c>
      <c r="G956" s="263">
        <f>F956*D956</f>
        <v>3490</v>
      </c>
      <c r="I956" s="457"/>
    </row>
    <row r="957" spans="1:9" x14ac:dyDescent="0.25">
      <c r="A957" s="258"/>
      <c r="B957" s="408" t="s">
        <v>1268</v>
      </c>
      <c r="C957" s="261"/>
      <c r="D957" s="448">
        <v>1</v>
      </c>
      <c r="E957" s="345" t="s">
        <v>25</v>
      </c>
      <c r="F957" s="261">
        <f>HSM!$E$785</f>
        <v>31050</v>
      </c>
      <c r="G957" s="263">
        <f>F957*D957</f>
        <v>31050</v>
      </c>
      <c r="I957" s="457"/>
    </row>
    <row r="958" spans="1:9" x14ac:dyDescent="0.25">
      <c r="A958" s="258"/>
      <c r="B958" s="408" t="s">
        <v>1269</v>
      </c>
      <c r="C958" s="261"/>
      <c r="D958" s="448">
        <v>1</v>
      </c>
      <c r="E958" s="345" t="s">
        <v>25</v>
      </c>
      <c r="F958" s="261">
        <f>HSM!$E$768</f>
        <v>4554</v>
      </c>
      <c r="G958" s="263">
        <f>F958*D958</f>
        <v>4554</v>
      </c>
      <c r="I958" s="457"/>
    </row>
    <row r="959" spans="1:9" x14ac:dyDescent="0.25">
      <c r="A959" s="258"/>
      <c r="B959" s="408" t="s">
        <v>1270</v>
      </c>
      <c r="C959" s="261"/>
      <c r="D959" s="448">
        <v>1</v>
      </c>
      <c r="E959" s="345" t="s">
        <v>25</v>
      </c>
      <c r="F959" s="261">
        <v>19500</v>
      </c>
      <c r="G959" s="263">
        <f>F959*D959</f>
        <v>19500</v>
      </c>
      <c r="I959" s="457"/>
    </row>
    <row r="960" spans="1:9" x14ac:dyDescent="0.25">
      <c r="A960" s="258"/>
      <c r="B960" s="408" t="s">
        <v>217</v>
      </c>
      <c r="C960" s="261"/>
      <c r="D960" s="448">
        <v>0.3</v>
      </c>
      <c r="E960" s="345" t="s">
        <v>1229</v>
      </c>
      <c r="F960" s="261">
        <f>VLOOKUP($B960,HSU!$B$6:$D$38,3,FALSE)</f>
        <v>70000</v>
      </c>
      <c r="G960" s="262">
        <f>F960*D960</f>
        <v>21000</v>
      </c>
      <c r="H960" s="263"/>
      <c r="I960" s="457"/>
    </row>
    <row r="961" spans="1:9" x14ac:dyDescent="0.25">
      <c r="A961" s="258"/>
      <c r="B961" s="408" t="s">
        <v>1123</v>
      </c>
      <c r="C961" s="261"/>
      <c r="D961" s="448">
        <v>0.15</v>
      </c>
      <c r="E961" s="345" t="s">
        <v>1229</v>
      </c>
      <c r="F961" s="261">
        <f>VLOOKUP($B961,HSU!$B$6:$D$38,3,FALSE)</f>
        <v>85000</v>
      </c>
      <c r="G961" s="262">
        <f>F961*D961</f>
        <v>12750</v>
      </c>
      <c r="H961" s="263"/>
      <c r="I961" s="457"/>
    </row>
    <row r="962" spans="1:9" x14ac:dyDescent="0.25">
      <c r="A962" s="258"/>
      <c r="B962" s="408" t="s">
        <v>1124</v>
      </c>
      <c r="C962" s="261"/>
      <c r="D962" s="448">
        <v>7.4999999999999997E-2</v>
      </c>
      <c r="E962" s="345" t="s">
        <v>1229</v>
      </c>
      <c r="F962" s="261">
        <f>VLOOKUP($B962,HSU!$B$6:$D$38,3,FALSE)</f>
        <v>90000</v>
      </c>
      <c r="G962" s="262">
        <f>F962*D962</f>
        <v>6750</v>
      </c>
      <c r="H962" s="263"/>
      <c r="I962" s="457"/>
    </row>
    <row r="963" spans="1:9" x14ac:dyDescent="0.25">
      <c r="A963" s="272"/>
      <c r="B963" s="388" t="s">
        <v>222</v>
      </c>
      <c r="C963" s="274"/>
      <c r="D963" s="424"/>
      <c r="E963" s="273"/>
      <c r="F963" s="274"/>
      <c r="G963" s="275">
        <f>SUM(G953:G962)</f>
        <v>143394</v>
      </c>
      <c r="H963" s="275"/>
      <c r="I963" s="459">
        <f>G963+H963</f>
        <v>143394</v>
      </c>
    </row>
    <row r="964" spans="1:9" x14ac:dyDescent="0.25">
      <c r="A964" s="277"/>
      <c r="B964" s="389" t="s">
        <v>229</v>
      </c>
      <c r="C964" s="279"/>
      <c r="D964" s="425"/>
      <c r="E964" s="278"/>
      <c r="F964" s="279"/>
      <c r="G964" s="280"/>
      <c r="H964" s="281"/>
      <c r="I964" s="460">
        <f>I963*0.15</f>
        <v>21509.1</v>
      </c>
    </row>
    <row r="965" spans="1:9" x14ac:dyDescent="0.25">
      <c r="A965" s="277"/>
      <c r="B965" s="389" t="s">
        <v>222</v>
      </c>
      <c r="C965" s="279"/>
      <c r="D965" s="426"/>
      <c r="E965" s="278"/>
      <c r="F965" s="279"/>
      <c r="G965" s="262"/>
      <c r="H965" s="281"/>
      <c r="I965" s="461">
        <f>I963+I964</f>
        <v>164903.1</v>
      </c>
    </row>
    <row r="966" spans="1:9" x14ac:dyDescent="0.25">
      <c r="A966" s="282"/>
      <c r="B966" s="390" t="s">
        <v>230</v>
      </c>
      <c r="C966" s="284"/>
      <c r="D966" s="427"/>
      <c r="E966" s="283"/>
      <c r="F966" s="284"/>
      <c r="G966" s="324"/>
      <c r="H966" s="325"/>
      <c r="I966" s="462">
        <f>ROUNDUP(I965,-2)</f>
        <v>165000</v>
      </c>
    </row>
    <row r="967" spans="1:9" x14ac:dyDescent="0.25">
      <c r="A967" s="258"/>
      <c r="B967" s="385"/>
      <c r="C967" s="261"/>
      <c r="D967" s="422"/>
      <c r="E967" s="265"/>
      <c r="F967" s="261"/>
      <c r="G967" s="262"/>
      <c r="H967" s="263"/>
      <c r="I967" s="457"/>
    </row>
    <row r="968" spans="1:9" x14ac:dyDescent="0.25">
      <c r="A968" s="258">
        <v>31</v>
      </c>
      <c r="B968" s="385" t="s">
        <v>85</v>
      </c>
      <c r="C968" s="261"/>
      <c r="D968" s="422">
        <v>1</v>
      </c>
      <c r="E968" s="265" t="s">
        <v>1037</v>
      </c>
      <c r="F968" s="261"/>
      <c r="G968" s="262"/>
      <c r="H968" s="263"/>
      <c r="I968" s="457"/>
    </row>
    <row r="969" spans="1:9" x14ac:dyDescent="0.25">
      <c r="A969" s="258"/>
      <c r="B969" s="408" t="s">
        <v>1264</v>
      </c>
      <c r="C969" s="261"/>
      <c r="D969" s="448">
        <v>1</v>
      </c>
      <c r="E969" s="345" t="s">
        <v>1243</v>
      </c>
      <c r="F969" s="261">
        <v>6000</v>
      </c>
      <c r="G969" s="263">
        <f>F969*D969</f>
        <v>6000</v>
      </c>
      <c r="I969" s="457"/>
    </row>
    <row r="970" spans="1:9" x14ac:dyDescent="0.25">
      <c r="A970" s="258"/>
      <c r="B970" s="408" t="s">
        <v>1265</v>
      </c>
      <c r="C970" s="261"/>
      <c r="D970" s="448">
        <v>0.1</v>
      </c>
      <c r="E970" s="345" t="s">
        <v>980</v>
      </c>
      <c r="F970" s="261">
        <f>HSM!$E$735</f>
        <v>328000</v>
      </c>
      <c r="G970" s="263">
        <f>F970*D970</f>
        <v>32800</v>
      </c>
      <c r="I970" s="457"/>
    </row>
    <row r="971" spans="1:9" x14ac:dyDescent="0.25">
      <c r="A971" s="258"/>
      <c r="B971" s="408" t="s">
        <v>1266</v>
      </c>
      <c r="C971" s="261"/>
      <c r="D971" s="448">
        <v>5</v>
      </c>
      <c r="E971" s="345" t="s">
        <v>25</v>
      </c>
      <c r="F971" s="261">
        <v>1100</v>
      </c>
      <c r="G971" s="263">
        <f>F971*D971</f>
        <v>5500</v>
      </c>
      <c r="I971" s="457"/>
    </row>
    <row r="972" spans="1:9" x14ac:dyDescent="0.25">
      <c r="A972" s="258"/>
      <c r="B972" s="408" t="s">
        <v>1267</v>
      </c>
      <c r="C972" s="261"/>
      <c r="D972" s="448">
        <v>0.1</v>
      </c>
      <c r="E972" s="345" t="s">
        <v>1271</v>
      </c>
      <c r="F972" s="261">
        <v>34900</v>
      </c>
      <c r="G972" s="263">
        <f>F972*D972</f>
        <v>3490</v>
      </c>
      <c r="I972" s="457"/>
    </row>
    <row r="973" spans="1:9" x14ac:dyDescent="0.25">
      <c r="A973" s="258"/>
      <c r="B973" s="408" t="s">
        <v>1268</v>
      </c>
      <c r="C973" s="261"/>
      <c r="D973" s="448">
        <v>1</v>
      </c>
      <c r="E973" s="345" t="s">
        <v>25</v>
      </c>
      <c r="F973" s="261">
        <f>HSM!$E$785</f>
        <v>31050</v>
      </c>
      <c r="G973" s="263">
        <f>F973*D973</f>
        <v>31050</v>
      </c>
      <c r="I973" s="457"/>
    </row>
    <row r="974" spans="1:9" x14ac:dyDescent="0.25">
      <c r="A974" s="258"/>
      <c r="B974" s="408" t="s">
        <v>1269</v>
      </c>
      <c r="C974" s="261"/>
      <c r="D974" s="448">
        <v>1</v>
      </c>
      <c r="E974" s="345" t="s">
        <v>25</v>
      </c>
      <c r="F974" s="261">
        <f>HSM!$E$768</f>
        <v>4554</v>
      </c>
      <c r="G974" s="263">
        <f>F974*D974</f>
        <v>4554</v>
      </c>
      <c r="I974" s="457"/>
    </row>
    <row r="975" spans="1:9" x14ac:dyDescent="0.25">
      <c r="A975" s="258"/>
      <c r="B975" s="408" t="s">
        <v>1270</v>
      </c>
      <c r="C975" s="261"/>
      <c r="D975" s="448">
        <v>1</v>
      </c>
      <c r="E975" s="345" t="s">
        <v>25</v>
      </c>
      <c r="F975" s="261">
        <v>27000</v>
      </c>
      <c r="G975" s="263">
        <f>F975*D975</f>
        <v>27000</v>
      </c>
      <c r="I975" s="457"/>
    </row>
    <row r="976" spans="1:9" x14ac:dyDescent="0.25">
      <c r="A976" s="258"/>
      <c r="B976" s="408" t="s">
        <v>217</v>
      </c>
      <c r="C976" s="261"/>
      <c r="D976" s="448">
        <v>0.3</v>
      </c>
      <c r="E976" s="345" t="s">
        <v>1229</v>
      </c>
      <c r="F976" s="261">
        <f>VLOOKUP($B976,HSU!$B$6:$D$38,3,FALSE)</f>
        <v>70000</v>
      </c>
      <c r="G976" s="262">
        <f>F976*D976</f>
        <v>21000</v>
      </c>
      <c r="H976" s="263"/>
      <c r="I976" s="457"/>
    </row>
    <row r="977" spans="1:9" x14ac:dyDescent="0.25">
      <c r="A977" s="258"/>
      <c r="B977" s="408" t="s">
        <v>1123</v>
      </c>
      <c r="C977" s="261"/>
      <c r="D977" s="448">
        <v>0.15</v>
      </c>
      <c r="E977" s="345" t="s">
        <v>1229</v>
      </c>
      <c r="F977" s="261">
        <f>VLOOKUP($B977,HSU!$B$6:$D$38,3,FALSE)</f>
        <v>85000</v>
      </c>
      <c r="G977" s="262">
        <f>F977*D977</f>
        <v>12750</v>
      </c>
      <c r="H977" s="263"/>
      <c r="I977" s="457"/>
    </row>
    <row r="978" spans="1:9" x14ac:dyDescent="0.25">
      <c r="A978" s="258"/>
      <c r="B978" s="408" t="s">
        <v>1124</v>
      </c>
      <c r="C978" s="261"/>
      <c r="D978" s="448">
        <v>7.4999999999999997E-2</v>
      </c>
      <c r="E978" s="345" t="s">
        <v>1229</v>
      </c>
      <c r="F978" s="261">
        <f>VLOOKUP($B978,HSU!$B$6:$D$38,3,FALSE)</f>
        <v>90000</v>
      </c>
      <c r="G978" s="262">
        <f>F978*D978</f>
        <v>6750</v>
      </c>
      <c r="H978" s="263"/>
      <c r="I978" s="457"/>
    </row>
    <row r="979" spans="1:9" x14ac:dyDescent="0.25">
      <c r="A979" s="272"/>
      <c r="B979" s="388" t="s">
        <v>222</v>
      </c>
      <c r="C979" s="274"/>
      <c r="D979" s="424"/>
      <c r="E979" s="273"/>
      <c r="F979" s="274"/>
      <c r="G979" s="275">
        <f>SUM(G969:G978)</f>
        <v>150894</v>
      </c>
      <c r="H979" s="275"/>
      <c r="I979" s="459">
        <f>G979+H979</f>
        <v>150894</v>
      </c>
    </row>
    <row r="980" spans="1:9" x14ac:dyDescent="0.25">
      <c r="A980" s="277"/>
      <c r="B980" s="389" t="s">
        <v>229</v>
      </c>
      <c r="C980" s="279"/>
      <c r="D980" s="425"/>
      <c r="E980" s="278"/>
      <c r="F980" s="279"/>
      <c r="G980" s="280"/>
      <c r="H980" s="281"/>
      <c r="I980" s="460">
        <f>I979*0.15</f>
        <v>22634.1</v>
      </c>
    </row>
    <row r="981" spans="1:9" x14ac:dyDescent="0.25">
      <c r="A981" s="277"/>
      <c r="B981" s="389" t="s">
        <v>222</v>
      </c>
      <c r="C981" s="279"/>
      <c r="D981" s="426"/>
      <c r="E981" s="278"/>
      <c r="F981" s="279"/>
      <c r="G981" s="262"/>
      <c r="H981" s="281"/>
      <c r="I981" s="461">
        <f>I979+I980</f>
        <v>173528.1</v>
      </c>
    </row>
    <row r="982" spans="1:9" x14ac:dyDescent="0.25">
      <c r="A982" s="282"/>
      <c r="B982" s="390" t="s">
        <v>230</v>
      </c>
      <c r="C982" s="284"/>
      <c r="D982" s="427"/>
      <c r="E982" s="283"/>
      <c r="F982" s="284"/>
      <c r="G982" s="324"/>
      <c r="H982" s="325"/>
      <c r="I982" s="462">
        <f>ROUNDUP(I981,-2)</f>
        <v>173600</v>
      </c>
    </row>
    <row r="983" spans="1:9" x14ac:dyDescent="0.25">
      <c r="A983" s="258"/>
      <c r="B983" s="385"/>
      <c r="C983" s="261"/>
      <c r="D983" s="422"/>
      <c r="E983" s="265"/>
      <c r="F983" s="261"/>
      <c r="G983" s="262"/>
      <c r="H983" s="263"/>
      <c r="I983" s="457"/>
    </row>
    <row r="984" spans="1:9" x14ac:dyDescent="0.25">
      <c r="A984" s="258">
        <v>31</v>
      </c>
      <c r="B984" s="385" t="s">
        <v>1279</v>
      </c>
      <c r="C984" s="261"/>
      <c r="D984" s="422">
        <v>1</v>
      </c>
      <c r="E984" s="265" t="s">
        <v>1037</v>
      </c>
      <c r="F984" s="261"/>
      <c r="G984" s="262"/>
      <c r="H984" s="263"/>
      <c r="I984" s="457"/>
    </row>
    <row r="985" spans="1:9" x14ac:dyDescent="0.25">
      <c r="A985" s="258"/>
      <c r="B985" s="408" t="s">
        <v>1264</v>
      </c>
      <c r="C985" s="261"/>
      <c r="D985" s="448">
        <v>1</v>
      </c>
      <c r="E985" s="345" t="s">
        <v>1243</v>
      </c>
      <c r="F985" s="261">
        <v>6000</v>
      </c>
      <c r="G985" s="263">
        <f>F985*D985</f>
        <v>6000</v>
      </c>
      <c r="I985" s="457"/>
    </row>
    <row r="986" spans="1:9" x14ac:dyDescent="0.25">
      <c r="A986" s="258"/>
      <c r="B986" s="408" t="s">
        <v>1265</v>
      </c>
      <c r="C986" s="261"/>
      <c r="D986" s="448">
        <v>0.1</v>
      </c>
      <c r="E986" s="345" t="s">
        <v>980</v>
      </c>
      <c r="F986" s="261">
        <f>HSM!$E$735</f>
        <v>328000</v>
      </c>
      <c r="G986" s="263">
        <f>F986*D986</f>
        <v>32800</v>
      </c>
      <c r="I986" s="457"/>
    </row>
    <row r="987" spans="1:9" x14ac:dyDescent="0.25">
      <c r="A987" s="258"/>
      <c r="B987" s="408" t="s">
        <v>1266</v>
      </c>
      <c r="C987" s="261"/>
      <c r="D987" s="448">
        <v>5</v>
      </c>
      <c r="E987" s="345" t="s">
        <v>25</v>
      </c>
      <c r="F987" s="261">
        <v>1100</v>
      </c>
      <c r="G987" s="263">
        <f>F987*D987</f>
        <v>5500</v>
      </c>
      <c r="I987" s="457"/>
    </row>
    <row r="988" spans="1:9" x14ac:dyDescent="0.25">
      <c r="A988" s="258"/>
      <c r="B988" s="408" t="s">
        <v>1267</v>
      </c>
      <c r="C988" s="261"/>
      <c r="D988" s="448">
        <v>0.1</v>
      </c>
      <c r="E988" s="345" t="s">
        <v>1271</v>
      </c>
      <c r="F988" s="261">
        <v>34900</v>
      </c>
      <c r="G988" s="263">
        <f>F988*D988</f>
        <v>3490</v>
      </c>
      <c r="I988" s="457"/>
    </row>
    <row r="989" spans="1:9" x14ac:dyDescent="0.25">
      <c r="A989" s="258"/>
      <c r="B989" s="408" t="s">
        <v>1268</v>
      </c>
      <c r="C989" s="261"/>
      <c r="D989" s="448">
        <v>1</v>
      </c>
      <c r="E989" s="345" t="s">
        <v>25</v>
      </c>
      <c r="F989" s="261">
        <f>HSM!$E$785</f>
        <v>31050</v>
      </c>
      <c r="G989" s="263">
        <f>F989*D989</f>
        <v>31050</v>
      </c>
      <c r="I989" s="457"/>
    </row>
    <row r="990" spans="1:9" x14ac:dyDescent="0.25">
      <c r="A990" s="258"/>
      <c r="B990" s="408" t="s">
        <v>1269</v>
      </c>
      <c r="C990" s="261"/>
      <c r="D990" s="448">
        <v>1</v>
      </c>
      <c r="E990" s="345" t="s">
        <v>25</v>
      </c>
      <c r="F990" s="261">
        <f>HSM!$E$768</f>
        <v>4554</v>
      </c>
      <c r="G990" s="263">
        <f>F990*D990</f>
        <v>4554</v>
      </c>
      <c r="I990" s="457"/>
    </row>
    <row r="991" spans="1:9" x14ac:dyDescent="0.25">
      <c r="A991" s="258"/>
      <c r="B991" s="408" t="s">
        <v>1270</v>
      </c>
      <c r="C991" s="261"/>
      <c r="D991" s="448">
        <v>1</v>
      </c>
      <c r="E991" s="345" t="s">
        <v>25</v>
      </c>
      <c r="F991" s="261">
        <v>33500</v>
      </c>
      <c r="G991" s="263">
        <f>F991*D991</f>
        <v>33500</v>
      </c>
      <c r="I991" s="457"/>
    </row>
    <row r="992" spans="1:9" x14ac:dyDescent="0.25">
      <c r="A992" s="258"/>
      <c r="B992" s="408" t="s">
        <v>217</v>
      </c>
      <c r="C992" s="261"/>
      <c r="D992" s="448">
        <v>0.3</v>
      </c>
      <c r="E992" s="345" t="s">
        <v>1229</v>
      </c>
      <c r="F992" s="261">
        <f>VLOOKUP($B992,HSU!$B$6:$D$38,3,FALSE)</f>
        <v>70000</v>
      </c>
      <c r="G992" s="262">
        <f>F992*D992</f>
        <v>21000</v>
      </c>
      <c r="H992" s="263"/>
      <c r="I992" s="457"/>
    </row>
    <row r="993" spans="1:9" x14ac:dyDescent="0.25">
      <c r="A993" s="258"/>
      <c r="B993" s="408" t="s">
        <v>1123</v>
      </c>
      <c r="C993" s="261"/>
      <c r="D993" s="448">
        <v>0.15</v>
      </c>
      <c r="E993" s="345" t="s">
        <v>1229</v>
      </c>
      <c r="F993" s="261">
        <f>VLOOKUP($B993,HSU!$B$6:$D$38,3,FALSE)</f>
        <v>85000</v>
      </c>
      <c r="G993" s="262">
        <f>F993*D993</f>
        <v>12750</v>
      </c>
      <c r="H993" s="263"/>
      <c r="I993" s="457"/>
    </row>
    <row r="994" spans="1:9" x14ac:dyDescent="0.25">
      <c r="A994" s="258"/>
      <c r="B994" s="408" t="s">
        <v>1124</v>
      </c>
      <c r="C994" s="261"/>
      <c r="D994" s="448">
        <v>7.4999999999999997E-2</v>
      </c>
      <c r="E994" s="345" t="s">
        <v>1229</v>
      </c>
      <c r="F994" s="261">
        <f>VLOOKUP($B994,HSU!$B$6:$D$38,3,FALSE)</f>
        <v>90000</v>
      </c>
      <c r="G994" s="262">
        <f>F994*D994</f>
        <v>6750</v>
      </c>
      <c r="H994" s="263"/>
      <c r="I994" s="457"/>
    </row>
    <row r="995" spans="1:9" x14ac:dyDescent="0.25">
      <c r="A995" s="272"/>
      <c r="B995" s="388" t="s">
        <v>222</v>
      </c>
      <c r="C995" s="274"/>
      <c r="D995" s="424"/>
      <c r="E995" s="273"/>
      <c r="F995" s="274"/>
      <c r="G995" s="275">
        <f>SUM(G985:G994)</f>
        <v>157394</v>
      </c>
      <c r="H995" s="275"/>
      <c r="I995" s="459">
        <f>G995+H995</f>
        <v>157394</v>
      </c>
    </row>
    <row r="996" spans="1:9" x14ac:dyDescent="0.25">
      <c r="A996" s="277"/>
      <c r="B996" s="389" t="s">
        <v>229</v>
      </c>
      <c r="C996" s="279"/>
      <c r="D996" s="425"/>
      <c r="E996" s="278"/>
      <c r="F996" s="279"/>
      <c r="G996" s="280"/>
      <c r="H996" s="281"/>
      <c r="I996" s="460">
        <f>I995*0.15</f>
        <v>23609.1</v>
      </c>
    </row>
    <row r="997" spans="1:9" x14ac:dyDescent="0.25">
      <c r="A997" s="277"/>
      <c r="B997" s="389" t="s">
        <v>222</v>
      </c>
      <c r="C997" s="279"/>
      <c r="D997" s="426"/>
      <c r="E997" s="278"/>
      <c r="F997" s="279"/>
      <c r="G997" s="262"/>
      <c r="H997" s="281"/>
      <c r="I997" s="461">
        <f>I995+I996</f>
        <v>181003.1</v>
      </c>
    </row>
    <row r="998" spans="1:9" x14ac:dyDescent="0.25">
      <c r="A998" s="282"/>
      <c r="B998" s="390" t="s">
        <v>230</v>
      </c>
      <c r="C998" s="284"/>
      <c r="D998" s="427"/>
      <c r="E998" s="283"/>
      <c r="F998" s="284"/>
      <c r="G998" s="324"/>
      <c r="H998" s="325"/>
      <c r="I998" s="462">
        <f>ROUNDUP(I997,-2)</f>
        <v>181100</v>
      </c>
    </row>
    <row r="999" spans="1:9" x14ac:dyDescent="0.25">
      <c r="A999" s="258"/>
      <c r="B999" s="385"/>
      <c r="C999" s="261"/>
      <c r="D999" s="422"/>
      <c r="E999" s="265"/>
      <c r="F999" s="261"/>
      <c r="G999" s="262"/>
      <c r="H999" s="263"/>
      <c r="I999" s="457"/>
    </row>
    <row r="1000" spans="1:9" x14ac:dyDescent="0.25">
      <c r="A1000" s="258">
        <v>31</v>
      </c>
      <c r="B1000" s="385" t="s">
        <v>1280</v>
      </c>
      <c r="C1000" s="261"/>
      <c r="D1000" s="422">
        <v>1</v>
      </c>
      <c r="E1000" s="265" t="s">
        <v>1037</v>
      </c>
      <c r="F1000" s="261"/>
      <c r="G1000" s="262"/>
      <c r="H1000" s="263"/>
      <c r="I1000" s="457"/>
    </row>
    <row r="1001" spans="1:9" x14ac:dyDescent="0.25">
      <c r="A1001" s="258"/>
      <c r="B1001" s="408" t="s">
        <v>1264</v>
      </c>
      <c r="C1001" s="261"/>
      <c r="D1001" s="448">
        <v>1</v>
      </c>
      <c r="E1001" s="345" t="s">
        <v>1243</v>
      </c>
      <c r="F1001" s="261">
        <v>6000</v>
      </c>
      <c r="G1001" s="263">
        <f>F1001*D1001</f>
        <v>6000</v>
      </c>
      <c r="I1001" s="457"/>
    </row>
    <row r="1002" spans="1:9" x14ac:dyDescent="0.25">
      <c r="A1002" s="258"/>
      <c r="B1002" s="408" t="s">
        <v>1265</v>
      </c>
      <c r="C1002" s="261"/>
      <c r="D1002" s="448">
        <v>0.1</v>
      </c>
      <c r="E1002" s="345" t="s">
        <v>980</v>
      </c>
      <c r="F1002" s="261">
        <f>HSM!$E$735</f>
        <v>328000</v>
      </c>
      <c r="G1002" s="263">
        <f>F1002*D1002</f>
        <v>32800</v>
      </c>
      <c r="I1002" s="457"/>
    </row>
    <row r="1003" spans="1:9" x14ac:dyDescent="0.25">
      <c r="A1003" s="258"/>
      <c r="B1003" s="408" t="s">
        <v>1266</v>
      </c>
      <c r="C1003" s="261"/>
      <c r="D1003" s="448">
        <v>5</v>
      </c>
      <c r="E1003" s="345" t="s">
        <v>25</v>
      </c>
      <c r="F1003" s="261">
        <v>1100</v>
      </c>
      <c r="G1003" s="263">
        <f>F1003*D1003</f>
        <v>5500</v>
      </c>
      <c r="I1003" s="457"/>
    </row>
    <row r="1004" spans="1:9" x14ac:dyDescent="0.25">
      <c r="A1004" s="258"/>
      <c r="B1004" s="408" t="s">
        <v>1267</v>
      </c>
      <c r="C1004" s="261"/>
      <c r="D1004" s="448">
        <v>0.1</v>
      </c>
      <c r="E1004" s="345" t="s">
        <v>1271</v>
      </c>
      <c r="F1004" s="261">
        <v>34900</v>
      </c>
      <c r="G1004" s="263">
        <f>F1004*D1004</f>
        <v>3490</v>
      </c>
      <c r="I1004" s="457"/>
    </row>
    <row r="1005" spans="1:9" x14ac:dyDescent="0.25">
      <c r="A1005" s="258"/>
      <c r="B1005" s="408" t="s">
        <v>1268</v>
      </c>
      <c r="C1005" s="261"/>
      <c r="D1005" s="448">
        <v>1</v>
      </c>
      <c r="E1005" s="345" t="s">
        <v>25</v>
      </c>
      <c r="F1005" s="261">
        <f>HSM!$E$785</f>
        <v>31050</v>
      </c>
      <c r="G1005" s="263">
        <f>F1005*D1005</f>
        <v>31050</v>
      </c>
      <c r="I1005" s="457"/>
    </row>
    <row r="1006" spans="1:9" x14ac:dyDescent="0.25">
      <c r="A1006" s="258"/>
      <c r="B1006" s="408" t="s">
        <v>1269</v>
      </c>
      <c r="C1006" s="261"/>
      <c r="D1006" s="448">
        <v>1</v>
      </c>
      <c r="E1006" s="345" t="s">
        <v>25</v>
      </c>
      <c r="F1006" s="261">
        <f>HSM!$E$768</f>
        <v>4554</v>
      </c>
      <c r="G1006" s="263">
        <f>F1006*D1006</f>
        <v>4554</v>
      </c>
      <c r="I1006" s="457"/>
    </row>
    <row r="1007" spans="1:9" x14ac:dyDescent="0.25">
      <c r="A1007" s="258"/>
      <c r="B1007" s="408" t="s">
        <v>1270</v>
      </c>
      <c r="C1007" s="261"/>
      <c r="D1007" s="448">
        <v>1</v>
      </c>
      <c r="E1007" s="345" t="s">
        <v>25</v>
      </c>
      <c r="F1007" s="261">
        <v>37500</v>
      </c>
      <c r="G1007" s="263">
        <f>F1007*D1007</f>
        <v>37500</v>
      </c>
      <c r="I1007" s="457"/>
    </row>
    <row r="1008" spans="1:9" x14ac:dyDescent="0.25">
      <c r="A1008" s="258"/>
      <c r="B1008" s="408" t="s">
        <v>217</v>
      </c>
      <c r="C1008" s="261"/>
      <c r="D1008" s="448">
        <v>0.3</v>
      </c>
      <c r="E1008" s="345" t="s">
        <v>1229</v>
      </c>
      <c r="F1008" s="261">
        <f>VLOOKUP($B1008,HSU!$B$6:$D$38,3,FALSE)</f>
        <v>70000</v>
      </c>
      <c r="G1008" s="262">
        <f>F1008*D1008</f>
        <v>21000</v>
      </c>
      <c r="H1008" s="263"/>
      <c r="I1008" s="457"/>
    </row>
    <row r="1009" spans="1:9" x14ac:dyDescent="0.25">
      <c r="A1009" s="258"/>
      <c r="B1009" s="408" t="s">
        <v>1123</v>
      </c>
      <c r="C1009" s="261"/>
      <c r="D1009" s="448">
        <v>0.15</v>
      </c>
      <c r="E1009" s="345" t="s">
        <v>1229</v>
      </c>
      <c r="F1009" s="261">
        <f>VLOOKUP($B1009,HSU!$B$6:$D$38,3,FALSE)</f>
        <v>85000</v>
      </c>
      <c r="G1009" s="262">
        <f>F1009*D1009</f>
        <v>12750</v>
      </c>
      <c r="H1009" s="263"/>
      <c r="I1009" s="457"/>
    </row>
    <row r="1010" spans="1:9" x14ac:dyDescent="0.25">
      <c r="A1010" s="258"/>
      <c r="B1010" s="408" t="s">
        <v>1124</v>
      </c>
      <c r="C1010" s="261"/>
      <c r="D1010" s="448">
        <v>7.4999999999999997E-2</v>
      </c>
      <c r="E1010" s="345" t="s">
        <v>1229</v>
      </c>
      <c r="F1010" s="261">
        <f>VLOOKUP($B1010,HSU!$B$6:$D$38,3,FALSE)</f>
        <v>90000</v>
      </c>
      <c r="G1010" s="262">
        <f>F1010*D1010</f>
        <v>6750</v>
      </c>
      <c r="H1010" s="263"/>
      <c r="I1010" s="457"/>
    </row>
    <row r="1011" spans="1:9" x14ac:dyDescent="0.25">
      <c r="A1011" s="272"/>
      <c r="B1011" s="388" t="s">
        <v>222</v>
      </c>
      <c r="C1011" s="274"/>
      <c r="D1011" s="424"/>
      <c r="E1011" s="273"/>
      <c r="F1011" s="274"/>
      <c r="G1011" s="275">
        <f>SUM(G1001:G1010)</f>
        <v>161394</v>
      </c>
      <c r="H1011" s="275"/>
      <c r="I1011" s="459">
        <f>G1011+H1011</f>
        <v>161394</v>
      </c>
    </row>
    <row r="1012" spans="1:9" x14ac:dyDescent="0.25">
      <c r="A1012" s="277"/>
      <c r="B1012" s="389" t="s">
        <v>229</v>
      </c>
      <c r="C1012" s="279"/>
      <c r="D1012" s="425"/>
      <c r="E1012" s="278"/>
      <c r="F1012" s="279"/>
      <c r="G1012" s="280"/>
      <c r="H1012" s="281"/>
      <c r="I1012" s="460">
        <f>I1011*0.15</f>
        <v>24209.1</v>
      </c>
    </row>
    <row r="1013" spans="1:9" x14ac:dyDescent="0.25">
      <c r="A1013" s="277"/>
      <c r="B1013" s="389" t="s">
        <v>222</v>
      </c>
      <c r="C1013" s="279"/>
      <c r="D1013" s="426"/>
      <c r="E1013" s="278"/>
      <c r="F1013" s="279"/>
      <c r="G1013" s="262"/>
      <c r="H1013" s="281"/>
      <c r="I1013" s="461">
        <f>I1011+I1012</f>
        <v>185603.1</v>
      </c>
    </row>
    <row r="1014" spans="1:9" x14ac:dyDescent="0.25">
      <c r="A1014" s="282"/>
      <c r="B1014" s="390" t="s">
        <v>230</v>
      </c>
      <c r="C1014" s="284"/>
      <c r="D1014" s="427"/>
      <c r="E1014" s="283"/>
      <c r="F1014" s="284"/>
      <c r="G1014" s="324"/>
      <c r="H1014" s="325"/>
      <c r="I1014" s="462">
        <f>ROUNDUP(I1013,-2)</f>
        <v>185700</v>
      </c>
    </row>
    <row r="1015" spans="1:9" x14ac:dyDescent="0.25">
      <c r="A1015" s="258"/>
      <c r="B1015" s="385"/>
      <c r="C1015" s="261"/>
      <c r="D1015" s="422"/>
      <c r="E1015" s="265"/>
      <c r="F1015" s="261"/>
      <c r="G1015" s="262"/>
      <c r="H1015" s="263"/>
      <c r="I1015" s="457"/>
    </row>
    <row r="1016" spans="1:9" x14ac:dyDescent="0.25">
      <c r="A1016" s="258">
        <v>31</v>
      </c>
      <c r="B1016" s="385" t="s">
        <v>1281</v>
      </c>
      <c r="C1016" s="261"/>
      <c r="D1016" s="422">
        <v>1</v>
      </c>
      <c r="E1016" s="265" t="s">
        <v>1037</v>
      </c>
      <c r="F1016" s="261"/>
      <c r="G1016" s="262"/>
      <c r="H1016" s="263"/>
      <c r="I1016" s="457"/>
    </row>
    <row r="1017" spans="1:9" x14ac:dyDescent="0.25">
      <c r="A1017" s="258"/>
      <c r="B1017" s="408" t="s">
        <v>1264</v>
      </c>
      <c r="C1017" s="261"/>
      <c r="D1017" s="448">
        <v>1</v>
      </c>
      <c r="E1017" s="345" t="s">
        <v>1243</v>
      </c>
      <c r="F1017" s="261">
        <v>6000</v>
      </c>
      <c r="G1017" s="263">
        <f>F1017*D1017</f>
        <v>6000</v>
      </c>
      <c r="I1017" s="457"/>
    </row>
    <row r="1018" spans="1:9" x14ac:dyDescent="0.25">
      <c r="A1018" s="258"/>
      <c r="B1018" s="408" t="s">
        <v>1265</v>
      </c>
      <c r="C1018" s="261"/>
      <c r="D1018" s="448">
        <v>0.1</v>
      </c>
      <c r="E1018" s="345" t="s">
        <v>980</v>
      </c>
      <c r="F1018" s="261">
        <f>HSM!$E$735</f>
        <v>328000</v>
      </c>
      <c r="G1018" s="263">
        <f>F1018*D1018</f>
        <v>32800</v>
      </c>
      <c r="I1018" s="457"/>
    </row>
    <row r="1019" spans="1:9" x14ac:dyDescent="0.25">
      <c r="A1019" s="258"/>
      <c r="B1019" s="408" t="s">
        <v>1266</v>
      </c>
      <c r="C1019" s="261"/>
      <c r="D1019" s="448">
        <v>5</v>
      </c>
      <c r="E1019" s="345" t="s">
        <v>25</v>
      </c>
      <c r="F1019" s="261">
        <v>1100</v>
      </c>
      <c r="G1019" s="263">
        <f>F1019*D1019</f>
        <v>5500</v>
      </c>
      <c r="I1019" s="457"/>
    </row>
    <row r="1020" spans="1:9" x14ac:dyDescent="0.25">
      <c r="A1020" s="258"/>
      <c r="B1020" s="408" t="s">
        <v>1267</v>
      </c>
      <c r="C1020" s="261"/>
      <c r="D1020" s="448">
        <v>0.1</v>
      </c>
      <c r="E1020" s="345" t="s">
        <v>1271</v>
      </c>
      <c r="F1020" s="261">
        <v>34900</v>
      </c>
      <c r="G1020" s="263">
        <f>F1020*D1020</f>
        <v>3490</v>
      </c>
      <c r="I1020" s="457"/>
    </row>
    <row r="1021" spans="1:9" x14ac:dyDescent="0.25">
      <c r="A1021" s="258"/>
      <c r="B1021" s="408" t="s">
        <v>1268</v>
      </c>
      <c r="C1021" s="261"/>
      <c r="D1021" s="448">
        <v>1</v>
      </c>
      <c r="E1021" s="345" t="s">
        <v>25</v>
      </c>
      <c r="F1021" s="261">
        <f>HSM!$E$785</f>
        <v>31050</v>
      </c>
      <c r="G1021" s="263">
        <f>F1021*D1021</f>
        <v>31050</v>
      </c>
      <c r="I1021" s="457"/>
    </row>
    <row r="1022" spans="1:9" x14ac:dyDescent="0.25">
      <c r="A1022" s="258"/>
      <c r="B1022" s="408" t="s">
        <v>1269</v>
      </c>
      <c r="C1022" s="261"/>
      <c r="D1022" s="448">
        <v>1</v>
      </c>
      <c r="E1022" s="345" t="s">
        <v>25</v>
      </c>
      <c r="F1022" s="261">
        <f>HSM!$E$768</f>
        <v>4554</v>
      </c>
      <c r="G1022" s="263">
        <f>F1022*D1022</f>
        <v>4554</v>
      </c>
      <c r="I1022" s="457"/>
    </row>
    <row r="1023" spans="1:9" x14ac:dyDescent="0.25">
      <c r="A1023" s="258"/>
      <c r="B1023" s="408" t="s">
        <v>1270</v>
      </c>
      <c r="C1023" s="261"/>
      <c r="D1023" s="448">
        <v>1</v>
      </c>
      <c r="E1023" s="345" t="s">
        <v>25</v>
      </c>
      <c r="F1023" s="261">
        <v>49200</v>
      </c>
      <c r="G1023" s="263">
        <f>F1023*D1023</f>
        <v>49200</v>
      </c>
      <c r="I1023" s="457"/>
    </row>
    <row r="1024" spans="1:9" x14ac:dyDescent="0.25">
      <c r="A1024" s="258"/>
      <c r="B1024" s="408" t="s">
        <v>217</v>
      </c>
      <c r="C1024" s="261"/>
      <c r="D1024" s="448">
        <v>0.3</v>
      </c>
      <c r="E1024" s="345" t="s">
        <v>1229</v>
      </c>
      <c r="F1024" s="261">
        <f>VLOOKUP($B1024,HSU!$B$6:$D$38,3,FALSE)</f>
        <v>70000</v>
      </c>
      <c r="G1024" s="262">
        <f>F1024*D1024</f>
        <v>21000</v>
      </c>
      <c r="H1024" s="263"/>
      <c r="I1024" s="457"/>
    </row>
    <row r="1025" spans="1:9" x14ac:dyDescent="0.25">
      <c r="A1025" s="258"/>
      <c r="B1025" s="408" t="s">
        <v>1123</v>
      </c>
      <c r="C1025" s="261"/>
      <c r="D1025" s="448">
        <v>0.15</v>
      </c>
      <c r="E1025" s="345" t="s">
        <v>1229</v>
      </c>
      <c r="F1025" s="261">
        <f>VLOOKUP($B1025,HSU!$B$6:$D$38,3,FALSE)</f>
        <v>85000</v>
      </c>
      <c r="G1025" s="262">
        <f>F1025*D1025</f>
        <v>12750</v>
      </c>
      <c r="H1025" s="263"/>
      <c r="I1025" s="457"/>
    </row>
    <row r="1026" spans="1:9" x14ac:dyDescent="0.25">
      <c r="A1026" s="258"/>
      <c r="B1026" s="408" t="s">
        <v>1124</v>
      </c>
      <c r="C1026" s="261"/>
      <c r="D1026" s="448">
        <v>7.4999999999999997E-2</v>
      </c>
      <c r="E1026" s="345" t="s">
        <v>1229</v>
      </c>
      <c r="F1026" s="261">
        <f>VLOOKUP($B1026,HSU!$B$6:$D$38,3,FALSE)</f>
        <v>90000</v>
      </c>
      <c r="G1026" s="262">
        <f>F1026*D1026</f>
        <v>6750</v>
      </c>
      <c r="H1026" s="263"/>
      <c r="I1026" s="457"/>
    </row>
    <row r="1027" spans="1:9" x14ac:dyDescent="0.25">
      <c r="A1027" s="272"/>
      <c r="B1027" s="388" t="s">
        <v>222</v>
      </c>
      <c r="C1027" s="274"/>
      <c r="D1027" s="424"/>
      <c r="E1027" s="273"/>
      <c r="F1027" s="274"/>
      <c r="G1027" s="275">
        <f>SUM(G1017:G1026)</f>
        <v>173094</v>
      </c>
      <c r="H1027" s="275"/>
      <c r="I1027" s="459">
        <f>G1027+H1027</f>
        <v>173094</v>
      </c>
    </row>
    <row r="1028" spans="1:9" x14ac:dyDescent="0.25">
      <c r="A1028" s="277"/>
      <c r="B1028" s="389" t="s">
        <v>229</v>
      </c>
      <c r="C1028" s="279"/>
      <c r="D1028" s="425"/>
      <c r="E1028" s="278"/>
      <c r="F1028" s="279"/>
      <c r="G1028" s="280"/>
      <c r="H1028" s="281"/>
      <c r="I1028" s="460">
        <f>I1027*0.15</f>
        <v>25964.1</v>
      </c>
    </row>
    <row r="1029" spans="1:9" x14ac:dyDescent="0.25">
      <c r="A1029" s="277"/>
      <c r="B1029" s="389" t="s">
        <v>222</v>
      </c>
      <c r="C1029" s="279"/>
      <c r="D1029" s="426"/>
      <c r="E1029" s="278"/>
      <c r="F1029" s="279"/>
      <c r="G1029" s="262"/>
      <c r="H1029" s="281"/>
      <c r="I1029" s="461">
        <f>I1027+I1028</f>
        <v>199058.1</v>
      </c>
    </row>
    <row r="1030" spans="1:9" x14ac:dyDescent="0.25">
      <c r="A1030" s="282"/>
      <c r="B1030" s="390" t="s">
        <v>230</v>
      </c>
      <c r="C1030" s="284"/>
      <c r="D1030" s="427"/>
      <c r="E1030" s="283"/>
      <c r="F1030" s="284"/>
      <c r="G1030" s="324"/>
      <c r="H1030" s="325"/>
      <c r="I1030" s="462">
        <f>ROUNDUP(I1029,-2)</f>
        <v>199100</v>
      </c>
    </row>
    <row r="1031" spans="1:9" x14ac:dyDescent="0.25">
      <c r="A1031" s="258"/>
      <c r="B1031" s="385"/>
      <c r="C1031" s="261"/>
      <c r="D1031" s="422"/>
      <c r="E1031" s="265"/>
      <c r="F1031" s="261"/>
      <c r="G1031" s="262"/>
      <c r="H1031" s="263"/>
      <c r="I1031" s="457"/>
    </row>
    <row r="1032" spans="1:9" x14ac:dyDescent="0.25">
      <c r="A1032" s="258">
        <v>31</v>
      </c>
      <c r="B1032" s="385" t="s">
        <v>1282</v>
      </c>
      <c r="C1032" s="261"/>
      <c r="D1032" s="422">
        <v>1</v>
      </c>
      <c r="E1032" s="265" t="s">
        <v>1037</v>
      </c>
      <c r="F1032" s="261"/>
      <c r="G1032" s="262"/>
      <c r="H1032" s="263"/>
      <c r="I1032" s="457"/>
    </row>
    <row r="1033" spans="1:9" x14ac:dyDescent="0.25">
      <c r="A1033" s="258"/>
      <c r="B1033" s="408" t="s">
        <v>1264</v>
      </c>
      <c r="C1033" s="261"/>
      <c r="D1033" s="448">
        <v>1</v>
      </c>
      <c r="E1033" s="345" t="s">
        <v>1243</v>
      </c>
      <c r="F1033" s="261">
        <v>6000</v>
      </c>
      <c r="G1033" s="263">
        <f>F1033*D1033</f>
        <v>6000</v>
      </c>
      <c r="I1033" s="457"/>
    </row>
    <row r="1034" spans="1:9" x14ac:dyDescent="0.25">
      <c r="A1034" s="258"/>
      <c r="B1034" s="408" t="s">
        <v>1265</v>
      </c>
      <c r="C1034" s="261"/>
      <c r="D1034" s="448">
        <v>0.1</v>
      </c>
      <c r="E1034" s="345" t="s">
        <v>980</v>
      </c>
      <c r="F1034" s="261">
        <f>HSM!$E$735</f>
        <v>328000</v>
      </c>
      <c r="G1034" s="263">
        <f>F1034*D1034</f>
        <v>32800</v>
      </c>
      <c r="I1034" s="457"/>
    </row>
    <row r="1035" spans="1:9" x14ac:dyDescent="0.25">
      <c r="A1035" s="258"/>
      <c r="B1035" s="408" t="s">
        <v>1266</v>
      </c>
      <c r="C1035" s="261"/>
      <c r="D1035" s="448">
        <v>5</v>
      </c>
      <c r="E1035" s="345" t="s">
        <v>25</v>
      </c>
      <c r="F1035" s="261">
        <v>1100</v>
      </c>
      <c r="G1035" s="263">
        <f>F1035*D1035</f>
        <v>5500</v>
      </c>
      <c r="I1035" s="457"/>
    </row>
    <row r="1036" spans="1:9" x14ac:dyDescent="0.25">
      <c r="A1036" s="258"/>
      <c r="B1036" s="408" t="s">
        <v>1267</v>
      </c>
      <c r="C1036" s="261"/>
      <c r="D1036" s="448">
        <v>0.1</v>
      </c>
      <c r="E1036" s="345" t="s">
        <v>1271</v>
      </c>
      <c r="F1036" s="261">
        <v>34900</v>
      </c>
      <c r="G1036" s="263">
        <f>F1036*D1036</f>
        <v>3490</v>
      </c>
      <c r="I1036" s="457"/>
    </row>
    <row r="1037" spans="1:9" x14ac:dyDescent="0.25">
      <c r="A1037" s="258"/>
      <c r="B1037" s="408" t="s">
        <v>1268</v>
      </c>
      <c r="C1037" s="261"/>
      <c r="D1037" s="448">
        <v>1</v>
      </c>
      <c r="E1037" s="345" t="s">
        <v>25</v>
      </c>
      <c r="F1037" s="261">
        <f>HSM!$E$785</f>
        <v>31050</v>
      </c>
      <c r="G1037" s="263">
        <f>F1037*D1037</f>
        <v>31050</v>
      </c>
      <c r="I1037" s="457"/>
    </row>
    <row r="1038" spans="1:9" x14ac:dyDescent="0.25">
      <c r="A1038" s="258"/>
      <c r="B1038" s="408" t="s">
        <v>1269</v>
      </c>
      <c r="C1038" s="261"/>
      <c r="D1038" s="448">
        <v>1</v>
      </c>
      <c r="E1038" s="345" t="s">
        <v>25</v>
      </c>
      <c r="F1038" s="261">
        <f>HSM!$E$768</f>
        <v>4554</v>
      </c>
      <c r="G1038" s="263">
        <f>F1038*D1038</f>
        <v>4554</v>
      </c>
      <c r="I1038" s="457"/>
    </row>
    <row r="1039" spans="1:9" x14ac:dyDescent="0.25">
      <c r="A1039" s="258"/>
      <c r="B1039" s="408" t="s">
        <v>1270</v>
      </c>
      <c r="C1039" s="261"/>
      <c r="D1039" s="448">
        <v>1</v>
      </c>
      <c r="E1039" s="345" t="s">
        <v>25</v>
      </c>
      <c r="F1039" s="261">
        <v>20000</v>
      </c>
      <c r="G1039" s="263">
        <f>F1039*D1039</f>
        <v>20000</v>
      </c>
      <c r="I1039" s="457"/>
    </row>
    <row r="1040" spans="1:9" x14ac:dyDescent="0.25">
      <c r="A1040" s="258"/>
      <c r="B1040" s="408" t="s">
        <v>217</v>
      </c>
      <c r="C1040" s="261"/>
      <c r="D1040" s="448">
        <v>0.3</v>
      </c>
      <c r="E1040" s="345" t="s">
        <v>1229</v>
      </c>
      <c r="F1040" s="261">
        <f>VLOOKUP($B1040,HSU!$B$6:$D$38,3,FALSE)</f>
        <v>70000</v>
      </c>
      <c r="G1040" s="262">
        <f>F1040*D1040</f>
        <v>21000</v>
      </c>
      <c r="H1040" s="263"/>
      <c r="I1040" s="457"/>
    </row>
    <row r="1041" spans="1:11" x14ac:dyDescent="0.25">
      <c r="A1041" s="258"/>
      <c r="B1041" s="408" t="s">
        <v>1123</v>
      </c>
      <c r="C1041" s="261"/>
      <c r="D1041" s="448">
        <v>0.15</v>
      </c>
      <c r="E1041" s="345" t="s">
        <v>1229</v>
      </c>
      <c r="F1041" s="261">
        <f>VLOOKUP($B1041,HSU!$B$6:$D$38,3,FALSE)</f>
        <v>85000</v>
      </c>
      <c r="G1041" s="262">
        <f>F1041*D1041</f>
        <v>12750</v>
      </c>
      <c r="H1041" s="263"/>
      <c r="I1041" s="457"/>
    </row>
    <row r="1042" spans="1:11" x14ac:dyDescent="0.25">
      <c r="A1042" s="258"/>
      <c r="B1042" s="408" t="s">
        <v>1124</v>
      </c>
      <c r="C1042" s="261"/>
      <c r="D1042" s="448">
        <v>7.4999999999999997E-2</v>
      </c>
      <c r="E1042" s="345" t="s">
        <v>1229</v>
      </c>
      <c r="F1042" s="261">
        <f>VLOOKUP($B1042,HSU!$B$6:$D$38,3,FALSE)</f>
        <v>90000</v>
      </c>
      <c r="G1042" s="262">
        <f>F1042*D1042</f>
        <v>6750</v>
      </c>
      <c r="H1042" s="263"/>
      <c r="I1042" s="457"/>
    </row>
    <row r="1043" spans="1:11" x14ac:dyDescent="0.25">
      <c r="A1043" s="272"/>
      <c r="B1043" s="388" t="s">
        <v>222</v>
      </c>
      <c r="C1043" s="274"/>
      <c r="D1043" s="424"/>
      <c r="E1043" s="273"/>
      <c r="F1043" s="274"/>
      <c r="G1043" s="275">
        <f>SUM(G1033:G1042)</f>
        <v>143894</v>
      </c>
      <c r="H1043" s="275"/>
      <c r="I1043" s="459">
        <f>G1043+H1043</f>
        <v>143894</v>
      </c>
    </row>
    <row r="1044" spans="1:11" x14ac:dyDescent="0.25">
      <c r="A1044" s="277"/>
      <c r="B1044" s="389" t="s">
        <v>229</v>
      </c>
      <c r="C1044" s="279"/>
      <c r="D1044" s="425"/>
      <c r="E1044" s="278"/>
      <c r="F1044" s="279"/>
      <c r="G1044" s="280"/>
      <c r="H1044" s="281"/>
      <c r="I1044" s="460">
        <f>I1043*0.15</f>
        <v>21584.1</v>
      </c>
    </row>
    <row r="1045" spans="1:11" x14ac:dyDescent="0.25">
      <c r="A1045" s="277"/>
      <c r="B1045" s="389" t="s">
        <v>222</v>
      </c>
      <c r="C1045" s="279"/>
      <c r="D1045" s="426"/>
      <c r="E1045" s="278"/>
      <c r="F1045" s="279"/>
      <c r="G1045" s="262"/>
      <c r="H1045" s="281"/>
      <c r="I1045" s="461">
        <f>I1043+I1044</f>
        <v>165478.1</v>
      </c>
    </row>
    <row r="1046" spans="1:11" x14ac:dyDescent="0.25">
      <c r="A1046" s="282"/>
      <c r="B1046" s="390" t="s">
        <v>230</v>
      </c>
      <c r="C1046" s="284"/>
      <c r="D1046" s="427"/>
      <c r="E1046" s="283"/>
      <c r="F1046" s="284"/>
      <c r="G1046" s="324"/>
      <c r="H1046" s="325"/>
      <c r="I1046" s="462">
        <f>ROUNDUP(I1045,-2)</f>
        <v>165500</v>
      </c>
    </row>
    <row r="1047" spans="1:11" x14ac:dyDescent="0.25">
      <c r="A1047" s="258"/>
      <c r="B1047" s="385"/>
      <c r="C1047" s="261"/>
      <c r="D1047" s="422"/>
      <c r="E1047" s="265"/>
      <c r="F1047" s="261"/>
      <c r="G1047" s="262"/>
      <c r="H1047" s="263"/>
      <c r="I1047" s="457"/>
    </row>
    <row r="1048" spans="1:11" x14ac:dyDescent="0.25">
      <c r="A1048" s="258">
        <v>31</v>
      </c>
      <c r="B1048" s="385" t="s">
        <v>1283</v>
      </c>
      <c r="C1048" s="261"/>
      <c r="D1048" s="422">
        <v>1</v>
      </c>
      <c r="E1048" s="265" t="s">
        <v>1037</v>
      </c>
      <c r="F1048" s="261"/>
      <c r="G1048" s="262"/>
      <c r="H1048" s="263"/>
      <c r="I1048" s="457"/>
    </row>
    <row r="1049" spans="1:11" x14ac:dyDescent="0.25">
      <c r="A1049" s="258"/>
      <c r="B1049" s="408" t="s">
        <v>1264</v>
      </c>
      <c r="C1049" s="261"/>
      <c r="D1049" s="448">
        <v>1</v>
      </c>
      <c r="E1049" s="345" t="s">
        <v>1243</v>
      </c>
      <c r="F1049" s="261">
        <v>6000</v>
      </c>
      <c r="G1049" s="263">
        <f>F1049*D1049</f>
        <v>6000</v>
      </c>
      <c r="I1049" s="457"/>
    </row>
    <row r="1050" spans="1:11" x14ac:dyDescent="0.25">
      <c r="A1050" s="258"/>
      <c r="B1050" s="408" t="s">
        <v>1265</v>
      </c>
      <c r="C1050" s="261"/>
      <c r="D1050" s="448">
        <v>0.1</v>
      </c>
      <c r="E1050" s="345" t="s">
        <v>980</v>
      </c>
      <c r="F1050" s="261">
        <f>HSM!$E$735</f>
        <v>328000</v>
      </c>
      <c r="G1050" s="263">
        <f>F1050*D1050</f>
        <v>32800</v>
      </c>
      <c r="I1050" s="457"/>
    </row>
    <row r="1051" spans="1:11" x14ac:dyDescent="0.25">
      <c r="A1051" s="258"/>
      <c r="B1051" s="408" t="s">
        <v>1266</v>
      </c>
      <c r="C1051" s="261"/>
      <c r="D1051" s="448">
        <v>5</v>
      </c>
      <c r="E1051" s="345" t="s">
        <v>25</v>
      </c>
      <c r="F1051" s="261">
        <v>1100</v>
      </c>
      <c r="G1051" s="263">
        <f>F1051*D1051</f>
        <v>5500</v>
      </c>
      <c r="I1051" s="457"/>
    </row>
    <row r="1052" spans="1:11" x14ac:dyDescent="0.25">
      <c r="A1052" s="258"/>
      <c r="B1052" s="408" t="s">
        <v>1267</v>
      </c>
      <c r="C1052" s="261"/>
      <c r="D1052" s="448">
        <v>0.1</v>
      </c>
      <c r="E1052" s="345" t="s">
        <v>1271</v>
      </c>
      <c r="F1052" s="261">
        <v>34900</v>
      </c>
      <c r="G1052" s="263">
        <f>F1052*D1052</f>
        <v>3490</v>
      </c>
      <c r="I1052" s="457"/>
    </row>
    <row r="1053" spans="1:11" x14ac:dyDescent="0.25">
      <c r="A1053" s="258"/>
      <c r="B1053" s="408" t="s">
        <v>1268</v>
      </c>
      <c r="C1053" s="261"/>
      <c r="D1053" s="448">
        <v>1</v>
      </c>
      <c r="E1053" s="345" t="s">
        <v>25</v>
      </c>
      <c r="F1053" s="261">
        <f>HSM!$E$785</f>
        <v>31050</v>
      </c>
      <c r="G1053" s="263">
        <f>F1053*D1053</f>
        <v>31050</v>
      </c>
      <c r="I1053" s="457"/>
    </row>
    <row r="1054" spans="1:11" x14ac:dyDescent="0.25">
      <c r="A1054" s="258"/>
      <c r="B1054" s="408" t="s">
        <v>1269</v>
      </c>
      <c r="C1054" s="261"/>
      <c r="D1054" s="448">
        <v>1</v>
      </c>
      <c r="E1054" s="345" t="s">
        <v>25</v>
      </c>
      <c r="F1054" s="261">
        <f>HSM!$E$768</f>
        <v>4554</v>
      </c>
      <c r="G1054" s="263">
        <f>F1054*D1054</f>
        <v>4554</v>
      </c>
      <c r="I1054" s="457"/>
    </row>
    <row r="1055" spans="1:11" x14ac:dyDescent="0.25">
      <c r="A1055" s="258"/>
      <c r="B1055" s="408" t="s">
        <v>1270</v>
      </c>
      <c r="C1055" s="261"/>
      <c r="D1055" s="448">
        <v>1</v>
      </c>
      <c r="E1055" s="345" t="s">
        <v>25</v>
      </c>
      <c r="F1055" s="261">
        <v>27500</v>
      </c>
      <c r="G1055" s="263">
        <f>F1055*D1055</f>
        <v>27500</v>
      </c>
      <c r="I1055" s="457"/>
    </row>
    <row r="1056" spans="1:11" x14ac:dyDescent="0.25">
      <c r="A1056" s="258"/>
      <c r="B1056" s="408" t="s">
        <v>217</v>
      </c>
      <c r="C1056" s="261"/>
      <c r="D1056" s="448">
        <v>0.3</v>
      </c>
      <c r="E1056" s="345" t="s">
        <v>1229</v>
      </c>
      <c r="F1056" s="261">
        <f>VLOOKUP($B1056,HSU!$B$6:$D$38,3,FALSE)</f>
        <v>70000</v>
      </c>
      <c r="G1056" s="262">
        <f>F1056*D1056</f>
        <v>21000</v>
      </c>
      <c r="H1056" s="263"/>
      <c r="I1056" s="457"/>
      <c r="K1056" s="249" t="s">
        <v>1298</v>
      </c>
    </row>
    <row r="1057" spans="1:9" x14ac:dyDescent="0.25">
      <c r="A1057" s="258"/>
      <c r="B1057" s="408" t="s">
        <v>1123</v>
      </c>
      <c r="C1057" s="261"/>
      <c r="D1057" s="448">
        <v>0.15</v>
      </c>
      <c r="E1057" s="345" t="s">
        <v>1229</v>
      </c>
      <c r="F1057" s="261">
        <f>VLOOKUP($B1057,HSU!$B$6:$D$38,3,FALSE)</f>
        <v>85000</v>
      </c>
      <c r="G1057" s="262">
        <f>F1057*D1057</f>
        <v>12750</v>
      </c>
      <c r="H1057" s="263"/>
      <c r="I1057" s="457"/>
    </row>
    <row r="1058" spans="1:9" x14ac:dyDescent="0.25">
      <c r="A1058" s="258"/>
      <c r="B1058" s="408" t="s">
        <v>1124</v>
      </c>
      <c r="C1058" s="261"/>
      <c r="D1058" s="448">
        <v>7.4999999999999997E-2</v>
      </c>
      <c r="E1058" s="345" t="s">
        <v>1229</v>
      </c>
      <c r="F1058" s="261">
        <f>VLOOKUP($B1058,HSU!$B$6:$D$38,3,FALSE)</f>
        <v>90000</v>
      </c>
      <c r="G1058" s="262">
        <f>F1058*D1058</f>
        <v>6750</v>
      </c>
      <c r="H1058" s="263"/>
      <c r="I1058" s="457"/>
    </row>
    <row r="1059" spans="1:9" x14ac:dyDescent="0.25">
      <c r="A1059" s="272"/>
      <c r="B1059" s="388" t="s">
        <v>222</v>
      </c>
      <c r="C1059" s="274"/>
      <c r="D1059" s="424"/>
      <c r="E1059" s="273"/>
      <c r="F1059" s="274"/>
      <c r="G1059" s="275">
        <f>SUM(G1049:G1058)</f>
        <v>151394</v>
      </c>
      <c r="H1059" s="275"/>
      <c r="I1059" s="459">
        <f>G1059+H1059</f>
        <v>151394</v>
      </c>
    </row>
    <row r="1060" spans="1:9" x14ac:dyDescent="0.25">
      <c r="A1060" s="277"/>
      <c r="B1060" s="389" t="s">
        <v>229</v>
      </c>
      <c r="C1060" s="279"/>
      <c r="D1060" s="425"/>
      <c r="E1060" s="278"/>
      <c r="F1060" s="279"/>
      <c r="G1060" s="280"/>
      <c r="H1060" s="281"/>
      <c r="I1060" s="460">
        <f>I1059*0.15</f>
        <v>22709.1</v>
      </c>
    </row>
    <row r="1061" spans="1:9" x14ac:dyDescent="0.25">
      <c r="A1061" s="277"/>
      <c r="B1061" s="389" t="s">
        <v>222</v>
      </c>
      <c r="C1061" s="279"/>
      <c r="D1061" s="426"/>
      <c r="E1061" s="278"/>
      <c r="F1061" s="279"/>
      <c r="G1061" s="262"/>
      <c r="H1061" s="281"/>
      <c r="I1061" s="461">
        <f>I1059+I1060</f>
        <v>174103.1</v>
      </c>
    </row>
    <row r="1062" spans="1:9" x14ac:dyDescent="0.25">
      <c r="A1062" s="282"/>
      <c r="B1062" s="390" t="s">
        <v>230</v>
      </c>
      <c r="C1062" s="284"/>
      <c r="D1062" s="427"/>
      <c r="E1062" s="283"/>
      <c r="F1062" s="284"/>
      <c r="G1062" s="324"/>
      <c r="H1062" s="325"/>
      <c r="I1062" s="462">
        <f>ROUNDUP(I1061,-2)</f>
        <v>174200</v>
      </c>
    </row>
    <row r="1063" spans="1:9" x14ac:dyDescent="0.25">
      <c r="A1063" s="258"/>
      <c r="B1063" s="385"/>
      <c r="C1063" s="261"/>
      <c r="D1063" s="422"/>
      <c r="E1063" s="265"/>
      <c r="F1063" s="261"/>
      <c r="G1063" s="262"/>
      <c r="H1063" s="263"/>
      <c r="I1063" s="457"/>
    </row>
    <row r="1064" spans="1:9" x14ac:dyDescent="0.25">
      <c r="A1064" s="258">
        <v>31</v>
      </c>
      <c r="B1064" s="385" t="s">
        <v>1284</v>
      </c>
      <c r="C1064" s="261"/>
      <c r="D1064" s="422">
        <v>1</v>
      </c>
      <c r="E1064" s="265" t="s">
        <v>1037</v>
      </c>
      <c r="F1064" s="261"/>
      <c r="G1064" s="262"/>
      <c r="H1064" s="263"/>
      <c r="I1064" s="457"/>
    </row>
    <row r="1065" spans="1:9" x14ac:dyDescent="0.25">
      <c r="A1065" s="258"/>
      <c r="B1065" s="408" t="s">
        <v>1285</v>
      </c>
      <c r="C1065" s="261"/>
      <c r="D1065" s="448">
        <v>1</v>
      </c>
      <c r="E1065" s="345" t="s">
        <v>46</v>
      </c>
      <c r="F1065" s="261">
        <v>5725000</v>
      </c>
      <c r="G1065" s="263">
        <f>F1065*D1065</f>
        <v>5725000</v>
      </c>
      <c r="I1065" s="457"/>
    </row>
    <row r="1066" spans="1:9" x14ac:dyDescent="0.25">
      <c r="A1066" s="258"/>
      <c r="B1066" s="408" t="s">
        <v>1286</v>
      </c>
      <c r="C1066" s="261"/>
      <c r="D1066" s="448">
        <v>0.33</v>
      </c>
      <c r="E1066" s="345" t="s">
        <v>46</v>
      </c>
      <c r="F1066" s="261">
        <v>250000</v>
      </c>
      <c r="G1066" s="263">
        <f>F1066*D1066</f>
        <v>82500</v>
      </c>
      <c r="I1066" s="457"/>
    </row>
    <row r="1067" spans="1:9" x14ac:dyDescent="0.25">
      <c r="A1067" s="272"/>
      <c r="B1067" s="388" t="s">
        <v>222</v>
      </c>
      <c r="C1067" s="274"/>
      <c r="D1067" s="424"/>
      <c r="E1067" s="273"/>
      <c r="F1067" s="274"/>
      <c r="G1067" s="275">
        <f>SUM(G1065:G1066)</f>
        <v>5807500</v>
      </c>
      <c r="H1067" s="275"/>
      <c r="I1067" s="459">
        <f>G1067+H1067</f>
        <v>5807500</v>
      </c>
    </row>
    <row r="1068" spans="1:9" x14ac:dyDescent="0.25">
      <c r="A1068" s="277"/>
      <c r="B1068" s="389" t="s">
        <v>229</v>
      </c>
      <c r="C1068" s="279"/>
      <c r="D1068" s="425"/>
      <c r="E1068" s="278"/>
      <c r="F1068" s="279"/>
      <c r="G1068" s="280"/>
      <c r="H1068" s="281"/>
      <c r="I1068" s="460">
        <f>I1067*0.15</f>
        <v>871125</v>
      </c>
    </row>
    <row r="1069" spans="1:9" x14ac:dyDescent="0.25">
      <c r="A1069" s="277"/>
      <c r="B1069" s="389" t="s">
        <v>222</v>
      </c>
      <c r="C1069" s="279"/>
      <c r="D1069" s="426"/>
      <c r="E1069" s="278"/>
      <c r="F1069" s="279"/>
      <c r="G1069" s="262"/>
      <c r="H1069" s="281"/>
      <c r="I1069" s="461">
        <f>I1067+I1068</f>
        <v>6678625</v>
      </c>
    </row>
    <row r="1070" spans="1:9" x14ac:dyDescent="0.25">
      <c r="A1070" s="282"/>
      <c r="B1070" s="390" t="s">
        <v>230</v>
      </c>
      <c r="C1070" s="284"/>
      <c r="D1070" s="427"/>
      <c r="E1070" s="283"/>
      <c r="F1070" s="284"/>
      <c r="G1070" s="324"/>
      <c r="H1070" s="325"/>
      <c r="I1070" s="462">
        <f>ROUNDUP(I1069,-2)</f>
        <v>6678700</v>
      </c>
    </row>
    <row r="1071" spans="1:9" x14ac:dyDescent="0.25">
      <c r="A1071" s="258"/>
      <c r="B1071" s="385"/>
      <c r="C1071" s="261"/>
      <c r="D1071" s="422"/>
      <c r="E1071" s="265"/>
      <c r="F1071" s="261"/>
      <c r="G1071" s="262"/>
      <c r="H1071" s="263"/>
      <c r="I1071" s="457"/>
    </row>
    <row r="1072" spans="1:9" ht="26.25" x14ac:dyDescent="0.25">
      <c r="A1072" s="258">
        <v>31</v>
      </c>
      <c r="B1072" s="385" t="s">
        <v>92</v>
      </c>
      <c r="C1072" s="261"/>
      <c r="D1072" s="422">
        <v>1</v>
      </c>
      <c r="E1072" s="265" t="s">
        <v>1037</v>
      </c>
      <c r="F1072" s="261"/>
      <c r="G1072" s="262"/>
      <c r="H1072" s="263"/>
      <c r="I1072" s="457"/>
    </row>
    <row r="1073" spans="1:9" x14ac:dyDescent="0.25">
      <c r="A1073" s="258"/>
      <c r="B1073" s="408" t="s">
        <v>1285</v>
      </c>
      <c r="C1073" s="261"/>
      <c r="D1073" s="448">
        <v>1</v>
      </c>
      <c r="E1073" s="345" t="s">
        <v>46</v>
      </c>
      <c r="F1073" s="261">
        <v>9494500</v>
      </c>
      <c r="G1073" s="263">
        <v>15800000</v>
      </c>
      <c r="I1073" s="457"/>
    </row>
    <row r="1074" spans="1:9" x14ac:dyDescent="0.25">
      <c r="A1074" s="258"/>
      <c r="B1074" s="408" t="s">
        <v>1286</v>
      </c>
      <c r="C1074" s="261"/>
      <c r="D1074" s="448">
        <v>0.33</v>
      </c>
      <c r="E1074" s="345" t="s">
        <v>46</v>
      </c>
      <c r="F1074" s="261">
        <v>250000</v>
      </c>
      <c r="G1074" s="263">
        <f>F1074*D1074</f>
        <v>82500</v>
      </c>
      <c r="I1074" s="457"/>
    </row>
    <row r="1075" spans="1:9" x14ac:dyDescent="0.25">
      <c r="A1075" s="272"/>
      <c r="B1075" s="388" t="s">
        <v>222</v>
      </c>
      <c r="C1075" s="274"/>
      <c r="D1075" s="424"/>
      <c r="E1075" s="273"/>
      <c r="F1075" s="274"/>
      <c r="G1075" s="275">
        <f>SUM(G1073:G1074)</f>
        <v>15882500</v>
      </c>
      <c r="H1075" s="275"/>
      <c r="I1075" s="459">
        <f>G1075+H1075</f>
        <v>15882500</v>
      </c>
    </row>
    <row r="1076" spans="1:9" x14ac:dyDescent="0.25">
      <c r="A1076" s="277"/>
      <c r="B1076" s="389" t="s">
        <v>229</v>
      </c>
      <c r="C1076" s="279"/>
      <c r="D1076" s="425"/>
      <c r="E1076" s="278"/>
      <c r="F1076" s="279"/>
      <c r="G1076" s="280"/>
      <c r="H1076" s="281"/>
      <c r="I1076" s="460">
        <f>I1075*0.15</f>
        <v>2382375</v>
      </c>
    </row>
    <row r="1077" spans="1:9" x14ac:dyDescent="0.25">
      <c r="A1077" s="277"/>
      <c r="B1077" s="389" t="s">
        <v>222</v>
      </c>
      <c r="C1077" s="279"/>
      <c r="D1077" s="426"/>
      <c r="E1077" s="278"/>
      <c r="F1077" s="279"/>
      <c r="G1077" s="262"/>
      <c r="H1077" s="281"/>
      <c r="I1077" s="461">
        <f>I1075+I1076</f>
        <v>18264875</v>
      </c>
    </row>
    <row r="1078" spans="1:9" x14ac:dyDescent="0.25">
      <c r="A1078" s="282"/>
      <c r="B1078" s="390" t="s">
        <v>230</v>
      </c>
      <c r="C1078" s="284"/>
      <c r="D1078" s="427"/>
      <c r="E1078" s="283"/>
      <c r="F1078" s="284"/>
      <c r="G1078" s="324"/>
      <c r="H1078" s="325"/>
      <c r="I1078" s="462">
        <f>ROUNDUP(I1077,-2)</f>
        <v>18264900</v>
      </c>
    </row>
    <row r="1079" spans="1:9" x14ac:dyDescent="0.25">
      <c r="A1079" s="258"/>
      <c r="B1079" s="385"/>
      <c r="C1079" s="261"/>
      <c r="D1079" s="422"/>
      <c r="E1079" s="265"/>
      <c r="F1079" s="261"/>
      <c r="G1079" s="262"/>
      <c r="H1079" s="263"/>
      <c r="I1079" s="457"/>
    </row>
    <row r="1080" spans="1:9" ht="26.25" x14ac:dyDescent="0.25">
      <c r="A1080" s="258">
        <v>31</v>
      </c>
      <c r="B1080" s="385" t="s">
        <v>93</v>
      </c>
      <c r="C1080" s="261"/>
      <c r="D1080" s="422">
        <v>1</v>
      </c>
      <c r="E1080" s="265" t="s">
        <v>1037</v>
      </c>
      <c r="F1080" s="261"/>
      <c r="G1080" s="262"/>
      <c r="H1080" s="263"/>
      <c r="I1080" s="457"/>
    </row>
    <row r="1081" spans="1:9" x14ac:dyDescent="0.25">
      <c r="A1081" s="258"/>
      <c r="B1081" s="408" t="s">
        <v>1285</v>
      </c>
      <c r="C1081" s="261"/>
      <c r="D1081" s="448">
        <v>1</v>
      </c>
      <c r="E1081" s="345" t="s">
        <v>46</v>
      </c>
      <c r="F1081" s="261">
        <v>9494500</v>
      </c>
      <c r="G1081" s="263">
        <v>8700000</v>
      </c>
      <c r="I1081" s="457"/>
    </row>
    <row r="1082" spans="1:9" x14ac:dyDescent="0.25">
      <c r="A1082" s="258"/>
      <c r="B1082" s="408" t="s">
        <v>1286</v>
      </c>
      <c r="C1082" s="261"/>
      <c r="D1082" s="448">
        <v>0.33</v>
      </c>
      <c r="E1082" s="345" t="s">
        <v>46</v>
      </c>
      <c r="F1082" s="261">
        <v>250000</v>
      </c>
      <c r="G1082" s="263">
        <f>F1082*D1082</f>
        <v>82500</v>
      </c>
      <c r="I1082" s="457"/>
    </row>
    <row r="1083" spans="1:9" x14ac:dyDescent="0.25">
      <c r="A1083" s="272"/>
      <c r="B1083" s="388" t="s">
        <v>222</v>
      </c>
      <c r="C1083" s="274"/>
      <c r="D1083" s="424"/>
      <c r="E1083" s="273"/>
      <c r="F1083" s="274"/>
      <c r="G1083" s="275">
        <f>SUM(G1081:G1082)</f>
        <v>8782500</v>
      </c>
      <c r="H1083" s="275"/>
      <c r="I1083" s="459">
        <f>G1083+H1083</f>
        <v>8782500</v>
      </c>
    </row>
    <row r="1084" spans="1:9" x14ac:dyDescent="0.25">
      <c r="A1084" s="277"/>
      <c r="B1084" s="389" t="s">
        <v>229</v>
      </c>
      <c r="C1084" s="279"/>
      <c r="D1084" s="425"/>
      <c r="E1084" s="278"/>
      <c r="F1084" s="279"/>
      <c r="G1084" s="280"/>
      <c r="H1084" s="281"/>
      <c r="I1084" s="460">
        <f>I1083*0.15</f>
        <v>1317375</v>
      </c>
    </row>
    <row r="1085" spans="1:9" x14ac:dyDescent="0.25">
      <c r="A1085" s="277"/>
      <c r="B1085" s="389" t="s">
        <v>222</v>
      </c>
      <c r="C1085" s="279"/>
      <c r="D1085" s="426"/>
      <c r="E1085" s="278"/>
      <c r="F1085" s="279"/>
      <c r="G1085" s="262"/>
      <c r="H1085" s="281"/>
      <c r="I1085" s="461">
        <f>I1083+I1084</f>
        <v>10099875</v>
      </c>
    </row>
    <row r="1086" spans="1:9" x14ac:dyDescent="0.25">
      <c r="A1086" s="282"/>
      <c r="B1086" s="390" t="s">
        <v>230</v>
      </c>
      <c r="C1086" s="284"/>
      <c r="D1086" s="427"/>
      <c r="E1086" s="283"/>
      <c r="F1086" s="284"/>
      <c r="G1086" s="324"/>
      <c r="H1086" s="325"/>
      <c r="I1086" s="462">
        <f>ROUNDUP(I1085,-2)</f>
        <v>10099900</v>
      </c>
    </row>
    <row r="1087" spans="1:9" x14ac:dyDescent="0.25">
      <c r="A1087" s="258"/>
      <c r="B1087" s="385"/>
      <c r="C1087" s="261"/>
      <c r="D1087" s="422"/>
      <c r="E1087" s="265"/>
      <c r="F1087" s="261"/>
      <c r="G1087" s="262"/>
      <c r="H1087" s="263"/>
      <c r="I1087" s="457"/>
    </row>
    <row r="1088" spans="1:9" x14ac:dyDescent="0.25">
      <c r="A1088" s="258">
        <v>31</v>
      </c>
      <c r="B1088" s="385" t="s">
        <v>1287</v>
      </c>
      <c r="C1088" s="261"/>
      <c r="D1088" s="422">
        <v>1</v>
      </c>
      <c r="E1088" s="265" t="s">
        <v>1037</v>
      </c>
      <c r="F1088" s="261"/>
      <c r="G1088" s="262"/>
      <c r="H1088" s="263"/>
      <c r="I1088" s="457"/>
    </row>
    <row r="1089" spans="1:9" x14ac:dyDescent="0.25">
      <c r="A1089" s="258"/>
      <c r="B1089" s="408" t="s">
        <v>1288</v>
      </c>
      <c r="C1089" s="261"/>
      <c r="D1089" s="448">
        <v>1</v>
      </c>
      <c r="E1089" s="345" t="s">
        <v>46</v>
      </c>
      <c r="F1089" s="261">
        <f>HSM!E706</f>
        <v>54945</v>
      </c>
      <c r="G1089" s="263">
        <f>F1089*D1089</f>
        <v>54945</v>
      </c>
      <c r="I1089" s="457"/>
    </row>
    <row r="1090" spans="1:9" x14ac:dyDescent="0.25">
      <c r="A1090" s="258"/>
      <c r="B1090" s="408" t="s">
        <v>1286</v>
      </c>
      <c r="C1090" s="261"/>
      <c r="D1090" s="448">
        <v>1</v>
      </c>
      <c r="E1090" s="345" t="s">
        <v>46</v>
      </c>
      <c r="F1090" s="261">
        <v>250000</v>
      </c>
      <c r="G1090" s="263">
        <f>F1090*D1090</f>
        <v>250000</v>
      </c>
      <c r="I1090" s="457"/>
    </row>
    <row r="1091" spans="1:9" x14ac:dyDescent="0.25">
      <c r="A1091" s="272"/>
      <c r="B1091" s="388" t="s">
        <v>222</v>
      </c>
      <c r="C1091" s="274"/>
      <c r="D1091" s="424"/>
      <c r="E1091" s="273"/>
      <c r="F1091" s="274"/>
      <c r="G1091" s="275">
        <f>SUM(G1089:G1090)</f>
        <v>304945</v>
      </c>
      <c r="H1091" s="275"/>
      <c r="I1091" s="459">
        <f>G1091+H1091</f>
        <v>304945</v>
      </c>
    </row>
    <row r="1092" spans="1:9" x14ac:dyDescent="0.25">
      <c r="A1092" s="277"/>
      <c r="B1092" s="389" t="s">
        <v>229</v>
      </c>
      <c r="C1092" s="279"/>
      <c r="D1092" s="425"/>
      <c r="E1092" s="278"/>
      <c r="F1092" s="279"/>
      <c r="G1092" s="280"/>
      <c r="H1092" s="281"/>
      <c r="I1092" s="460">
        <f>I1091*0.15</f>
        <v>45741.75</v>
      </c>
    </row>
    <row r="1093" spans="1:9" x14ac:dyDescent="0.25">
      <c r="A1093" s="277"/>
      <c r="B1093" s="389" t="s">
        <v>222</v>
      </c>
      <c r="C1093" s="279"/>
      <c r="D1093" s="426"/>
      <c r="E1093" s="278"/>
      <c r="F1093" s="279"/>
      <c r="G1093" s="262"/>
      <c r="H1093" s="281"/>
      <c r="I1093" s="461">
        <f>I1091+I1092</f>
        <v>350686.75</v>
      </c>
    </row>
    <row r="1094" spans="1:9" x14ac:dyDescent="0.25">
      <c r="A1094" s="282"/>
      <c r="B1094" s="390" t="s">
        <v>230</v>
      </c>
      <c r="C1094" s="284"/>
      <c r="D1094" s="427"/>
      <c r="E1094" s="283"/>
      <c r="F1094" s="284"/>
      <c r="G1094" s="324"/>
      <c r="H1094" s="325"/>
      <c r="I1094" s="462">
        <f>ROUNDUP(I1093,-2)</f>
        <v>350700</v>
      </c>
    </row>
    <row r="1095" spans="1:9" x14ac:dyDescent="0.25">
      <c r="A1095" s="258"/>
      <c r="B1095" s="385"/>
      <c r="C1095" s="261"/>
      <c r="D1095" s="422"/>
      <c r="E1095" s="265"/>
      <c r="F1095" s="261"/>
      <c r="G1095" s="262"/>
      <c r="H1095" s="263"/>
      <c r="I1095" s="457"/>
    </row>
    <row r="1096" spans="1:9" x14ac:dyDescent="0.25">
      <c r="A1096" s="258">
        <v>31</v>
      </c>
      <c r="B1096" s="385" t="s">
        <v>1289</v>
      </c>
      <c r="C1096" s="261"/>
      <c r="D1096" s="422">
        <v>1</v>
      </c>
      <c r="E1096" s="265" t="s">
        <v>1037</v>
      </c>
      <c r="F1096" s="261"/>
      <c r="G1096" s="262"/>
      <c r="H1096" s="263"/>
      <c r="I1096" s="457"/>
    </row>
    <row r="1097" spans="1:9" x14ac:dyDescent="0.25">
      <c r="A1097" s="258"/>
      <c r="B1097" s="408" t="s">
        <v>1289</v>
      </c>
      <c r="C1097" s="261"/>
      <c r="D1097" s="448">
        <v>1</v>
      </c>
      <c r="E1097" s="345" t="s">
        <v>46</v>
      </c>
      <c r="F1097" s="261">
        <v>5000000</v>
      </c>
      <c r="G1097" s="263">
        <f>F1097*D1097</f>
        <v>5000000</v>
      </c>
      <c r="I1097" s="457"/>
    </row>
    <row r="1098" spans="1:9" x14ac:dyDescent="0.25">
      <c r="A1098" s="258"/>
      <c r="B1098" s="408" t="s">
        <v>1286</v>
      </c>
      <c r="C1098" s="261"/>
      <c r="D1098" s="448">
        <v>1</v>
      </c>
      <c r="E1098" s="345" t="s">
        <v>46</v>
      </c>
      <c r="F1098" s="261">
        <v>250000</v>
      </c>
      <c r="G1098" s="263">
        <f>F1098*D1098</f>
        <v>250000</v>
      </c>
      <c r="I1098" s="457"/>
    </row>
    <row r="1099" spans="1:9" x14ac:dyDescent="0.25">
      <c r="A1099" s="272"/>
      <c r="B1099" s="388" t="s">
        <v>222</v>
      </c>
      <c r="C1099" s="274"/>
      <c r="D1099" s="424"/>
      <c r="E1099" s="273"/>
      <c r="F1099" s="274"/>
      <c r="G1099" s="275">
        <f>SUM(G1097:G1098)</f>
        <v>5250000</v>
      </c>
      <c r="H1099" s="275"/>
      <c r="I1099" s="459">
        <f>G1099+H1099</f>
        <v>5250000</v>
      </c>
    </row>
    <row r="1100" spans="1:9" x14ac:dyDescent="0.25">
      <c r="A1100" s="277"/>
      <c r="B1100" s="389" t="s">
        <v>229</v>
      </c>
      <c r="C1100" s="279"/>
      <c r="D1100" s="425"/>
      <c r="E1100" s="278"/>
      <c r="F1100" s="279"/>
      <c r="G1100" s="280"/>
      <c r="H1100" s="281"/>
      <c r="I1100" s="460">
        <f>I1099*0.15</f>
        <v>787500</v>
      </c>
    </row>
    <row r="1101" spans="1:9" x14ac:dyDescent="0.25">
      <c r="A1101" s="277"/>
      <c r="B1101" s="389" t="s">
        <v>222</v>
      </c>
      <c r="C1101" s="279"/>
      <c r="D1101" s="426"/>
      <c r="E1101" s="278"/>
      <c r="F1101" s="279"/>
      <c r="G1101" s="262"/>
      <c r="H1101" s="281"/>
      <c r="I1101" s="461">
        <f>I1099+I1100</f>
        <v>6037500</v>
      </c>
    </row>
    <row r="1102" spans="1:9" x14ac:dyDescent="0.25">
      <c r="A1102" s="282"/>
      <c r="B1102" s="390" t="s">
        <v>230</v>
      </c>
      <c r="C1102" s="284"/>
      <c r="D1102" s="427"/>
      <c r="E1102" s="283"/>
      <c r="F1102" s="284"/>
      <c r="G1102" s="324"/>
      <c r="H1102" s="325"/>
      <c r="I1102" s="462">
        <f>ROUNDUP(I1101,-2)</f>
        <v>6037500</v>
      </c>
    </row>
    <row r="1103" spans="1:9" ht="15.75" thickBot="1" x14ac:dyDescent="0.3">
      <c r="I1103" s="463"/>
    </row>
    <row r="1104" spans="1:9" ht="16.5" thickTop="1" thickBot="1" x14ac:dyDescent="0.3">
      <c r="A1104" s="253" t="s">
        <v>3</v>
      </c>
      <c r="B1104" s="381" t="s">
        <v>1375</v>
      </c>
      <c r="C1104" s="376" t="s">
        <v>1370</v>
      </c>
      <c r="D1104" s="418" t="s">
        <v>1371</v>
      </c>
      <c r="E1104" s="376" t="s">
        <v>1372</v>
      </c>
      <c r="F1104" s="376" t="s">
        <v>1374</v>
      </c>
      <c r="G1104" s="254" t="s">
        <v>1373</v>
      </c>
      <c r="H1104" s="255"/>
      <c r="I1104" s="455" t="s">
        <v>222</v>
      </c>
    </row>
    <row r="1105" spans="1:9" ht="16.5" thickTop="1" thickBot="1" x14ac:dyDescent="0.3">
      <c r="A1105" s="256" t="s">
        <v>223</v>
      </c>
      <c r="B1105" s="382" t="s">
        <v>224</v>
      </c>
      <c r="C1105" s="340" t="s">
        <v>225</v>
      </c>
      <c r="D1105" s="419" t="s">
        <v>226</v>
      </c>
      <c r="E1105" s="340" t="s">
        <v>1376</v>
      </c>
      <c r="F1105" s="257" t="s">
        <v>1377</v>
      </c>
      <c r="G1105" s="340" t="s">
        <v>1378</v>
      </c>
      <c r="H1105" s="257" t="s">
        <v>1377</v>
      </c>
      <c r="I1105" s="456" t="s">
        <v>1379</v>
      </c>
    </row>
    <row r="1106" spans="1:9" ht="15.75" thickTop="1" x14ac:dyDescent="0.25">
      <c r="A1106" s="297"/>
      <c r="B1106" s="393"/>
      <c r="C1106" s="343"/>
      <c r="D1106" s="447"/>
      <c r="E1106" s="342"/>
      <c r="F1106" s="343"/>
      <c r="G1106" s="300"/>
      <c r="H1106" s="344"/>
      <c r="I1106" s="466"/>
    </row>
    <row r="1107" spans="1:9" x14ac:dyDescent="0.25">
      <c r="A1107" s="258"/>
      <c r="B1107" s="383" t="s">
        <v>1290</v>
      </c>
      <c r="C1107" s="261"/>
      <c r="D1107" s="439"/>
      <c r="E1107" s="259"/>
      <c r="F1107" s="261"/>
      <c r="G1107" s="262"/>
      <c r="H1107" s="263"/>
      <c r="I1107" s="457"/>
    </row>
    <row r="1108" spans="1:9" x14ac:dyDescent="0.25">
      <c r="A1108" s="268"/>
      <c r="B1108" s="397"/>
      <c r="C1108" s="328"/>
      <c r="D1108" s="440"/>
      <c r="E1108" s="269"/>
      <c r="F1108" s="328"/>
      <c r="G1108" s="329"/>
      <c r="H1108" s="271"/>
      <c r="I1108" s="474"/>
    </row>
    <row r="1109" spans="1:9" x14ac:dyDescent="0.25">
      <c r="A1109" s="258">
        <v>31</v>
      </c>
      <c r="B1109" s="385" t="s">
        <v>97</v>
      </c>
      <c r="C1109" s="261"/>
      <c r="D1109" s="422">
        <v>1</v>
      </c>
      <c r="E1109" s="265" t="s">
        <v>1037</v>
      </c>
      <c r="F1109" s="261"/>
      <c r="G1109" s="262"/>
      <c r="H1109" s="263"/>
      <c r="I1109" s="457"/>
    </row>
    <row r="1110" spans="1:9" x14ac:dyDescent="0.25">
      <c r="A1110" s="258" t="s">
        <v>231</v>
      </c>
      <c r="B1110" s="408" t="s">
        <v>1291</v>
      </c>
      <c r="C1110" s="261"/>
      <c r="D1110" s="448">
        <v>1</v>
      </c>
      <c r="E1110" s="345" t="s">
        <v>25</v>
      </c>
      <c r="F1110" s="261">
        <v>6450000</v>
      </c>
      <c r="G1110" s="263">
        <f>F1110*D1110</f>
        <v>6450000</v>
      </c>
      <c r="I1110" s="457"/>
    </row>
    <row r="1111" spans="1:9" x14ac:dyDescent="0.25">
      <c r="A1111" s="258"/>
      <c r="B1111" s="408" t="s">
        <v>1292</v>
      </c>
      <c r="C1111" s="261"/>
      <c r="D1111" s="448">
        <v>2.2499999999999999E-2</v>
      </c>
      <c r="E1111" s="345" t="s">
        <v>20</v>
      </c>
      <c r="F1111" s="261">
        <v>1075000</v>
      </c>
      <c r="G1111" s="263">
        <f>F1111*D1111</f>
        <v>24187.5</v>
      </c>
      <c r="I1111" s="457"/>
    </row>
    <row r="1112" spans="1:9" x14ac:dyDescent="0.25">
      <c r="A1112" s="258"/>
      <c r="B1112" s="408" t="s">
        <v>1295</v>
      </c>
      <c r="C1112" s="261"/>
      <c r="D1112" s="448">
        <v>0.25</v>
      </c>
      <c r="E1112" s="345" t="s">
        <v>1294</v>
      </c>
      <c r="F1112" s="261">
        <v>100000</v>
      </c>
      <c r="G1112" s="263">
        <f>F1112*D1112</f>
        <v>25000</v>
      </c>
      <c r="I1112" s="457"/>
    </row>
    <row r="1113" spans="1:9" x14ac:dyDescent="0.25">
      <c r="A1113" s="258"/>
      <c r="B1113" s="408" t="s">
        <v>217</v>
      </c>
      <c r="C1113" s="261"/>
      <c r="D1113" s="448">
        <v>3</v>
      </c>
      <c r="E1113" s="345" t="s">
        <v>1229</v>
      </c>
      <c r="F1113" s="261">
        <f>VLOOKUP($B1113,HSU!$B$6:$D$38,3,FALSE)</f>
        <v>70000</v>
      </c>
      <c r="G1113" s="262">
        <f>F1113*D1113</f>
        <v>210000</v>
      </c>
      <c r="H1113" s="263"/>
      <c r="I1113" s="457"/>
    </row>
    <row r="1114" spans="1:9" x14ac:dyDescent="0.25">
      <c r="A1114" s="258"/>
      <c r="B1114" s="408" t="s">
        <v>1293</v>
      </c>
      <c r="C1114" s="261"/>
      <c r="D1114" s="448">
        <v>1.5</v>
      </c>
      <c r="E1114" s="345" t="s">
        <v>1229</v>
      </c>
      <c r="F1114" s="261">
        <f>VLOOKUP($B1114,HSU!$B$6:$D$38,3,FALSE)</f>
        <v>85000</v>
      </c>
      <c r="G1114" s="262">
        <f>F1114*D1114</f>
        <v>127500</v>
      </c>
      <c r="H1114" s="263"/>
      <c r="I1114" s="457"/>
    </row>
    <row r="1115" spans="1:9" x14ac:dyDescent="0.25">
      <c r="A1115" s="258"/>
      <c r="B1115" s="408" t="s">
        <v>1161</v>
      </c>
      <c r="C1115" s="261"/>
      <c r="D1115" s="448">
        <v>0.5</v>
      </c>
      <c r="E1115" s="345" t="s">
        <v>1229</v>
      </c>
      <c r="F1115" s="261">
        <f>VLOOKUP($B1115,HSU!$B$6:$D$38,3,FALSE)</f>
        <v>85000</v>
      </c>
      <c r="G1115" s="262">
        <f>F1115*D1115</f>
        <v>42500</v>
      </c>
      <c r="H1115" s="263"/>
      <c r="I1115" s="457"/>
    </row>
    <row r="1116" spans="1:9" x14ac:dyDescent="0.25">
      <c r="A1116" s="258"/>
      <c r="B1116" s="408" t="s">
        <v>220</v>
      </c>
      <c r="C1116" s="261"/>
      <c r="D1116" s="448">
        <v>0.16666666666666666</v>
      </c>
      <c r="E1116" s="345" t="s">
        <v>1229</v>
      </c>
      <c r="F1116" s="261">
        <f>VLOOKUP($B1116,HSU!$B$6:$D$38,3,FALSE)</f>
        <v>85000</v>
      </c>
      <c r="G1116" s="262">
        <f>F1116*D1116</f>
        <v>14166.666666666666</v>
      </c>
      <c r="H1116" s="263"/>
      <c r="I1116" s="457"/>
    </row>
    <row r="1117" spans="1:9" x14ac:dyDescent="0.25">
      <c r="A1117" s="272"/>
      <c r="B1117" s="388" t="s">
        <v>222</v>
      </c>
      <c r="C1117" s="274"/>
      <c r="D1117" s="424"/>
      <c r="E1117" s="273"/>
      <c r="F1117" s="274"/>
      <c r="G1117" s="275">
        <f>SUM(G1110:G1116)</f>
        <v>6893354.166666667</v>
      </c>
      <c r="H1117" s="275"/>
      <c r="I1117" s="459">
        <f>G1117+H1117</f>
        <v>6893354.166666667</v>
      </c>
    </row>
    <row r="1118" spans="1:9" x14ac:dyDescent="0.25">
      <c r="A1118" s="277"/>
      <c r="B1118" s="389" t="s">
        <v>229</v>
      </c>
      <c r="C1118" s="279"/>
      <c r="D1118" s="425"/>
      <c r="E1118" s="278"/>
      <c r="F1118" s="279"/>
      <c r="G1118" s="280"/>
      <c r="H1118" s="281"/>
      <c r="I1118" s="460">
        <f>I1117*0.15</f>
        <v>1034003.125</v>
      </c>
    </row>
    <row r="1119" spans="1:9" x14ac:dyDescent="0.25">
      <c r="A1119" s="277"/>
      <c r="B1119" s="389" t="s">
        <v>222</v>
      </c>
      <c r="C1119" s="279"/>
      <c r="D1119" s="426"/>
      <c r="E1119" s="278"/>
      <c r="F1119" s="279"/>
      <c r="G1119" s="262"/>
      <c r="H1119" s="281"/>
      <c r="I1119" s="461">
        <f>I1117+I1118</f>
        <v>7927357.291666667</v>
      </c>
    </row>
    <row r="1120" spans="1:9" x14ac:dyDescent="0.25">
      <c r="A1120" s="282"/>
      <c r="B1120" s="390" t="s">
        <v>230</v>
      </c>
      <c r="C1120" s="284"/>
      <c r="D1120" s="427"/>
      <c r="E1120" s="283"/>
      <c r="F1120" s="284"/>
      <c r="G1120" s="324"/>
      <c r="H1120" s="325"/>
      <c r="I1120" s="462">
        <f>ROUNDUP(I1119,-2)</f>
        <v>7927400</v>
      </c>
    </row>
    <row r="1121" spans="1:9" x14ac:dyDescent="0.25">
      <c r="A1121" s="268"/>
      <c r="B1121" s="397"/>
      <c r="C1121" s="328"/>
      <c r="D1121" s="440"/>
      <c r="E1121" s="269"/>
      <c r="F1121" s="328"/>
      <c r="G1121" s="329"/>
      <c r="H1121" s="271"/>
      <c r="I1121" s="474"/>
    </row>
    <row r="1122" spans="1:9" x14ac:dyDescent="0.25">
      <c r="A1122" s="258">
        <v>31</v>
      </c>
      <c r="B1122" s="385" t="s">
        <v>1296</v>
      </c>
      <c r="C1122" s="261"/>
      <c r="D1122" s="422">
        <v>1</v>
      </c>
      <c r="E1122" s="265" t="s">
        <v>1037</v>
      </c>
      <c r="F1122" s="261"/>
      <c r="G1122" s="262"/>
      <c r="H1122" s="263"/>
      <c r="I1122" s="457"/>
    </row>
    <row r="1123" spans="1:9" x14ac:dyDescent="0.25">
      <c r="A1123" s="258" t="s">
        <v>231</v>
      </c>
      <c r="B1123" s="408" t="s">
        <v>1296</v>
      </c>
      <c r="C1123" s="261"/>
      <c r="D1123" s="448">
        <v>1</v>
      </c>
      <c r="E1123" s="345" t="s">
        <v>25</v>
      </c>
      <c r="F1123" s="261">
        <f>HSM!E568</f>
        <v>225000</v>
      </c>
      <c r="G1123" s="263">
        <f>F1123*D1123</f>
        <v>225000</v>
      </c>
      <c r="I1123" s="457"/>
    </row>
    <row r="1124" spans="1:9" x14ac:dyDescent="0.25">
      <c r="A1124" s="258"/>
      <c r="B1124" s="408" t="s">
        <v>1295</v>
      </c>
      <c r="C1124" s="261"/>
      <c r="D1124" s="448">
        <v>0.25</v>
      </c>
      <c r="E1124" s="345" t="s">
        <v>1294</v>
      </c>
      <c r="F1124" s="261">
        <v>100000</v>
      </c>
      <c r="G1124" s="263">
        <f>F1124*D1124</f>
        <v>25000</v>
      </c>
      <c r="I1124" s="457"/>
    </row>
    <row r="1125" spans="1:9" x14ac:dyDescent="0.25">
      <c r="A1125" s="258"/>
      <c r="B1125" s="408" t="s">
        <v>217</v>
      </c>
      <c r="C1125" s="261"/>
      <c r="D1125" s="448">
        <v>0.5</v>
      </c>
      <c r="E1125" s="345" t="s">
        <v>1229</v>
      </c>
      <c r="F1125" s="261">
        <f>VLOOKUP($B1125,HSU!$B$6:$D$38,3,FALSE)</f>
        <v>70000</v>
      </c>
      <c r="G1125" s="262">
        <f>F1125*D1125</f>
        <v>35000</v>
      </c>
      <c r="H1125" s="263"/>
      <c r="I1125" s="457"/>
    </row>
    <row r="1126" spans="1:9" x14ac:dyDescent="0.25">
      <c r="A1126" s="258"/>
      <c r="B1126" s="408" t="s">
        <v>1116</v>
      </c>
      <c r="C1126" s="261"/>
      <c r="D1126" s="448">
        <v>0.5</v>
      </c>
      <c r="E1126" s="345" t="s">
        <v>1229</v>
      </c>
      <c r="F1126" s="261">
        <f>VLOOKUP($B1126,HSU!$B$6:$D$38,3,FALSE)</f>
        <v>85000</v>
      </c>
      <c r="G1126" s="262">
        <f>F1126*D1126</f>
        <v>42500</v>
      </c>
      <c r="H1126" s="263"/>
      <c r="I1126" s="457"/>
    </row>
    <row r="1127" spans="1:9" x14ac:dyDescent="0.25">
      <c r="A1127" s="258"/>
      <c r="B1127" s="408" t="s">
        <v>1235</v>
      </c>
      <c r="C1127" s="261"/>
      <c r="D1127" s="448">
        <v>0.16666666666666666</v>
      </c>
      <c r="E1127" s="345" t="s">
        <v>1229</v>
      </c>
      <c r="F1127" s="261">
        <f>VLOOKUP($B1127,HSU!$B$6:$D$38,3,FALSE)</f>
        <v>90000</v>
      </c>
      <c r="G1127" s="262">
        <f>F1127*D1127</f>
        <v>15000</v>
      </c>
      <c r="H1127" s="263"/>
      <c r="I1127" s="457"/>
    </row>
    <row r="1128" spans="1:9" x14ac:dyDescent="0.25">
      <c r="A1128" s="258"/>
      <c r="B1128" s="408" t="s">
        <v>220</v>
      </c>
      <c r="C1128" s="261"/>
      <c r="D1128" s="448">
        <v>5.5555555555555552E-2</v>
      </c>
      <c r="E1128" s="345" t="s">
        <v>1229</v>
      </c>
      <c r="F1128" s="261">
        <f>VLOOKUP($B1128,HSU!$B$6:$D$38,3,FALSE)</f>
        <v>85000</v>
      </c>
      <c r="G1128" s="262">
        <f>F1128*D1128</f>
        <v>4722.2222222222217</v>
      </c>
      <c r="H1128" s="263"/>
      <c r="I1128" s="457"/>
    </row>
    <row r="1129" spans="1:9" x14ac:dyDescent="0.25">
      <c r="A1129" s="272"/>
      <c r="B1129" s="388" t="s">
        <v>222</v>
      </c>
      <c r="C1129" s="274"/>
      <c r="D1129" s="424"/>
      <c r="E1129" s="273"/>
      <c r="F1129" s="274"/>
      <c r="G1129" s="275">
        <f>SUM(G1123:G1128)</f>
        <v>347222.22222222225</v>
      </c>
      <c r="H1129" s="275"/>
      <c r="I1129" s="459">
        <f>G1129+H1129</f>
        <v>347222.22222222225</v>
      </c>
    </row>
    <row r="1130" spans="1:9" x14ac:dyDescent="0.25">
      <c r="A1130" s="277"/>
      <c r="B1130" s="389" t="s">
        <v>229</v>
      </c>
      <c r="C1130" s="279"/>
      <c r="D1130" s="425"/>
      <c r="E1130" s="278"/>
      <c r="F1130" s="279"/>
      <c r="G1130" s="280"/>
      <c r="H1130" s="281"/>
      <c r="I1130" s="460">
        <f>I1129*0.15</f>
        <v>52083.333333333336</v>
      </c>
    </row>
    <row r="1131" spans="1:9" x14ac:dyDescent="0.25">
      <c r="A1131" s="277"/>
      <c r="B1131" s="389" t="s">
        <v>222</v>
      </c>
      <c r="C1131" s="279"/>
      <c r="D1131" s="426"/>
      <c r="E1131" s="278"/>
      <c r="F1131" s="279"/>
      <c r="G1131" s="262"/>
      <c r="H1131" s="281"/>
      <c r="I1131" s="461">
        <f>I1129+I1130</f>
        <v>399305.55555555556</v>
      </c>
    </row>
    <row r="1132" spans="1:9" x14ac:dyDescent="0.25">
      <c r="A1132" s="282"/>
      <c r="B1132" s="390" t="s">
        <v>230</v>
      </c>
      <c r="C1132" s="284"/>
      <c r="D1132" s="427"/>
      <c r="E1132" s="283"/>
      <c r="F1132" s="284"/>
      <c r="G1132" s="324"/>
      <c r="H1132" s="325"/>
      <c r="I1132" s="462">
        <f>ROUNDUP(I1131,-2)</f>
        <v>399400</v>
      </c>
    </row>
    <row r="1133" spans="1:9" x14ac:dyDescent="0.25">
      <c r="A1133" s="268"/>
      <c r="B1133" s="397"/>
      <c r="C1133" s="328"/>
      <c r="D1133" s="440"/>
      <c r="E1133" s="269"/>
      <c r="F1133" s="328"/>
      <c r="G1133" s="329"/>
      <c r="H1133" s="271"/>
      <c r="I1133" s="474"/>
    </row>
    <row r="1134" spans="1:9" x14ac:dyDescent="0.25">
      <c r="A1134" s="258">
        <v>31</v>
      </c>
      <c r="B1134" s="385" t="s">
        <v>99</v>
      </c>
      <c r="C1134" s="261"/>
      <c r="D1134" s="422">
        <v>1</v>
      </c>
      <c r="E1134" s="265" t="s">
        <v>1037</v>
      </c>
      <c r="F1134" s="261"/>
      <c r="G1134" s="262"/>
      <c r="H1134" s="263"/>
      <c r="I1134" s="457"/>
    </row>
    <row r="1135" spans="1:9" x14ac:dyDescent="0.25">
      <c r="A1135" s="258" t="s">
        <v>231</v>
      </c>
      <c r="B1135" s="408" t="s">
        <v>1297</v>
      </c>
      <c r="C1135" s="261"/>
      <c r="D1135" s="448">
        <v>1</v>
      </c>
      <c r="E1135" s="345" t="s">
        <v>25</v>
      </c>
      <c r="F1135" s="261">
        <v>387000</v>
      </c>
      <c r="G1135" s="263">
        <f>F1135*D1135</f>
        <v>387000</v>
      </c>
      <c r="I1135" s="457"/>
    </row>
    <row r="1136" spans="1:9" x14ac:dyDescent="0.25">
      <c r="A1136" s="258"/>
      <c r="B1136" s="408" t="s">
        <v>1295</v>
      </c>
      <c r="C1136" s="261"/>
      <c r="D1136" s="448">
        <v>0.25</v>
      </c>
      <c r="E1136" s="345" t="s">
        <v>1294</v>
      </c>
      <c r="F1136" s="261">
        <v>100000</v>
      </c>
      <c r="G1136" s="263">
        <f>F1136*D1136</f>
        <v>25000</v>
      </c>
      <c r="I1136" s="457"/>
    </row>
    <row r="1137" spans="1:9" x14ac:dyDescent="0.25">
      <c r="A1137" s="258"/>
      <c r="B1137" s="408" t="s">
        <v>217</v>
      </c>
      <c r="C1137" s="261"/>
      <c r="D1137" s="448">
        <v>0.1</v>
      </c>
      <c r="E1137" s="345" t="s">
        <v>1229</v>
      </c>
      <c r="F1137" s="261">
        <f>VLOOKUP($B1137,HSU!$B$6:$D$38,3,FALSE)</f>
        <v>70000</v>
      </c>
      <c r="G1137" s="262">
        <f>F1137*D1137</f>
        <v>7000</v>
      </c>
      <c r="H1137" s="263"/>
      <c r="I1137" s="457"/>
    </row>
    <row r="1138" spans="1:9" x14ac:dyDescent="0.25">
      <c r="A1138" s="258"/>
      <c r="B1138" s="408" t="s">
        <v>1293</v>
      </c>
      <c r="C1138" s="261"/>
      <c r="D1138" s="448">
        <v>0.01</v>
      </c>
      <c r="E1138" s="345" t="s">
        <v>1229</v>
      </c>
      <c r="F1138" s="261">
        <f>VLOOKUP($B1138,HSU!$B$6:$D$38,3,FALSE)</f>
        <v>85000</v>
      </c>
      <c r="G1138" s="262">
        <f>F1138*D1138</f>
        <v>850</v>
      </c>
      <c r="H1138" s="263"/>
      <c r="I1138" s="457"/>
    </row>
    <row r="1139" spans="1:9" x14ac:dyDescent="0.25">
      <c r="A1139" s="258"/>
      <c r="B1139" s="408" t="s">
        <v>1161</v>
      </c>
      <c r="C1139" s="261"/>
      <c r="D1139" s="448">
        <v>0.01</v>
      </c>
      <c r="E1139" s="345" t="s">
        <v>1229</v>
      </c>
      <c r="F1139" s="261">
        <f>VLOOKUP($B1139,HSU!$B$6:$D$38,3,FALSE)</f>
        <v>85000</v>
      </c>
      <c r="G1139" s="262">
        <f>F1139*D1139</f>
        <v>850</v>
      </c>
      <c r="H1139" s="263"/>
      <c r="I1139" s="457"/>
    </row>
    <row r="1140" spans="1:9" x14ac:dyDescent="0.25">
      <c r="A1140" s="258"/>
      <c r="B1140" s="408" t="s">
        <v>220</v>
      </c>
      <c r="C1140" s="261"/>
      <c r="D1140" s="448">
        <v>5.0000000000000001E-3</v>
      </c>
      <c r="E1140" s="345" t="s">
        <v>1229</v>
      </c>
      <c r="F1140" s="261">
        <f>VLOOKUP($B1140,HSU!$B$6:$D$38,3,FALSE)</f>
        <v>85000</v>
      </c>
      <c r="G1140" s="262">
        <f>F1140*D1140</f>
        <v>425</v>
      </c>
      <c r="H1140" s="263"/>
      <c r="I1140" s="457"/>
    </row>
    <row r="1141" spans="1:9" x14ac:dyDescent="0.25">
      <c r="A1141" s="272"/>
      <c r="B1141" s="388" t="s">
        <v>222</v>
      </c>
      <c r="C1141" s="274"/>
      <c r="D1141" s="424"/>
      <c r="E1141" s="273"/>
      <c r="F1141" s="274"/>
      <c r="G1141" s="275">
        <f>SUM(G1135:G1140)</f>
        <v>421125</v>
      </c>
      <c r="H1141" s="275"/>
      <c r="I1141" s="459">
        <f>G1141+H1141</f>
        <v>421125</v>
      </c>
    </row>
    <row r="1142" spans="1:9" x14ac:dyDescent="0.25">
      <c r="A1142" s="277"/>
      <c r="B1142" s="389" t="s">
        <v>229</v>
      </c>
      <c r="C1142" s="279"/>
      <c r="D1142" s="425"/>
      <c r="E1142" s="278"/>
      <c r="F1142" s="279"/>
      <c r="G1142" s="280"/>
      <c r="H1142" s="281"/>
      <c r="I1142" s="460">
        <f>I1141*0.15</f>
        <v>63168.75</v>
      </c>
    </row>
    <row r="1143" spans="1:9" x14ac:dyDescent="0.25">
      <c r="A1143" s="277"/>
      <c r="B1143" s="389" t="s">
        <v>222</v>
      </c>
      <c r="C1143" s="279"/>
      <c r="D1143" s="426"/>
      <c r="E1143" s="278"/>
      <c r="F1143" s="279"/>
      <c r="G1143" s="262"/>
      <c r="H1143" s="281"/>
      <c r="I1143" s="461">
        <f>I1141+I1142</f>
        <v>484293.75</v>
      </c>
    </row>
    <row r="1144" spans="1:9" x14ac:dyDescent="0.25">
      <c r="A1144" s="282"/>
      <c r="B1144" s="390" t="s">
        <v>230</v>
      </c>
      <c r="C1144" s="284"/>
      <c r="D1144" s="427"/>
      <c r="E1144" s="283"/>
      <c r="F1144" s="284"/>
      <c r="G1144" s="324"/>
      <c r="H1144" s="325"/>
      <c r="I1144" s="462">
        <f>ROUNDUP(I1143,-2)</f>
        <v>484300</v>
      </c>
    </row>
    <row r="1145" spans="1:9" x14ac:dyDescent="0.25">
      <c r="A1145" s="268"/>
      <c r="B1145" s="397"/>
      <c r="C1145" s="328"/>
      <c r="D1145" s="440"/>
      <c r="E1145" s="269"/>
      <c r="F1145" s="328"/>
      <c r="G1145" s="329"/>
      <c r="H1145" s="271"/>
      <c r="I1145" s="474"/>
    </row>
    <row r="1146" spans="1:9" x14ac:dyDescent="0.25">
      <c r="A1146" s="258">
        <v>31</v>
      </c>
      <c r="B1146" s="385" t="s">
        <v>100</v>
      </c>
      <c r="C1146" s="261"/>
      <c r="D1146" s="422">
        <v>1</v>
      </c>
      <c r="E1146" s="265" t="s">
        <v>1037</v>
      </c>
      <c r="F1146" s="261"/>
      <c r="G1146" s="262"/>
      <c r="H1146" s="263"/>
      <c r="I1146" s="457"/>
    </row>
    <row r="1147" spans="1:9" x14ac:dyDescent="0.25">
      <c r="A1147" s="258" t="s">
        <v>231</v>
      </c>
      <c r="B1147" s="408" t="s">
        <v>1309</v>
      </c>
      <c r="C1147" s="261"/>
      <c r="D1147" s="448">
        <v>1</v>
      </c>
      <c r="E1147" s="345" t="s">
        <v>25</v>
      </c>
      <c r="F1147" s="261">
        <v>2070000</v>
      </c>
      <c r="G1147" s="263">
        <f>F1147*D1147</f>
        <v>2070000</v>
      </c>
      <c r="I1147" s="457"/>
    </row>
    <row r="1148" spans="1:9" x14ac:dyDescent="0.25">
      <c r="A1148" s="258"/>
      <c r="B1148" s="408" t="s">
        <v>1295</v>
      </c>
      <c r="C1148" s="261"/>
      <c r="D1148" s="448">
        <v>0.25</v>
      </c>
      <c r="E1148" s="345" t="s">
        <v>1294</v>
      </c>
      <c r="F1148" s="261">
        <v>100000</v>
      </c>
      <c r="G1148" s="263">
        <f>F1148*D1148</f>
        <v>25000</v>
      </c>
      <c r="I1148" s="457"/>
    </row>
    <row r="1149" spans="1:9" x14ac:dyDescent="0.25">
      <c r="A1149" s="258"/>
      <c r="B1149" s="408" t="s">
        <v>217</v>
      </c>
      <c r="C1149" s="261"/>
      <c r="D1149" s="448">
        <v>0.1</v>
      </c>
      <c r="E1149" s="345" t="s">
        <v>1229</v>
      </c>
      <c r="F1149" s="261">
        <f>VLOOKUP($B1149,HSU!$B$6:$D$38,3,FALSE)</f>
        <v>70000</v>
      </c>
      <c r="G1149" s="262">
        <f>F1149*D1149</f>
        <v>7000</v>
      </c>
      <c r="H1149" s="263"/>
      <c r="I1149" s="457"/>
    </row>
    <row r="1150" spans="1:9" x14ac:dyDescent="0.25">
      <c r="A1150" s="258"/>
      <c r="B1150" s="408" t="s">
        <v>1293</v>
      </c>
      <c r="C1150" s="261"/>
      <c r="D1150" s="448">
        <v>0.01</v>
      </c>
      <c r="E1150" s="345" t="s">
        <v>1229</v>
      </c>
      <c r="F1150" s="261">
        <f>VLOOKUP($B1150,HSU!$B$6:$D$38,3,FALSE)</f>
        <v>85000</v>
      </c>
      <c r="G1150" s="262">
        <f>F1150*D1150</f>
        <v>850</v>
      </c>
      <c r="H1150" s="263"/>
      <c r="I1150" s="457"/>
    </row>
    <row r="1151" spans="1:9" x14ac:dyDescent="0.25">
      <c r="A1151" s="258"/>
      <c r="B1151" s="408" t="s">
        <v>1161</v>
      </c>
      <c r="C1151" s="261"/>
      <c r="D1151" s="448">
        <v>0.01</v>
      </c>
      <c r="E1151" s="345" t="s">
        <v>1229</v>
      </c>
      <c r="F1151" s="261">
        <f>VLOOKUP($B1151,HSU!$B$6:$D$38,3,FALSE)</f>
        <v>85000</v>
      </c>
      <c r="G1151" s="262">
        <f>F1151*D1151</f>
        <v>850</v>
      </c>
      <c r="H1151" s="263"/>
      <c r="I1151" s="457"/>
    </row>
    <row r="1152" spans="1:9" x14ac:dyDescent="0.25">
      <c r="A1152" s="258"/>
      <c r="B1152" s="408" t="s">
        <v>220</v>
      </c>
      <c r="C1152" s="261"/>
      <c r="D1152" s="448">
        <v>5.0000000000000001E-3</v>
      </c>
      <c r="E1152" s="345" t="s">
        <v>1229</v>
      </c>
      <c r="F1152" s="261">
        <f>VLOOKUP($B1152,HSU!$B$6:$D$38,3,FALSE)</f>
        <v>85000</v>
      </c>
      <c r="G1152" s="262">
        <f>F1152*D1152</f>
        <v>425</v>
      </c>
      <c r="H1152" s="263"/>
      <c r="I1152" s="457"/>
    </row>
    <row r="1153" spans="1:9" x14ac:dyDescent="0.25">
      <c r="A1153" s="272"/>
      <c r="B1153" s="388" t="s">
        <v>222</v>
      </c>
      <c r="C1153" s="274"/>
      <c r="D1153" s="424"/>
      <c r="E1153" s="273"/>
      <c r="F1153" s="274"/>
      <c r="G1153" s="275">
        <f>SUM(G1147:G1152)</f>
        <v>2104125</v>
      </c>
      <c r="H1153" s="275"/>
      <c r="I1153" s="459">
        <f>G1153+H1153</f>
        <v>2104125</v>
      </c>
    </row>
    <row r="1154" spans="1:9" x14ac:dyDescent="0.25">
      <c r="A1154" s="277"/>
      <c r="B1154" s="389" t="s">
        <v>229</v>
      </c>
      <c r="C1154" s="279"/>
      <c r="D1154" s="425"/>
      <c r="E1154" s="278"/>
      <c r="F1154" s="279"/>
      <c r="G1154" s="280"/>
      <c r="H1154" s="281"/>
      <c r="I1154" s="460">
        <f>I1153*0.15</f>
        <v>315618.75</v>
      </c>
    </row>
    <row r="1155" spans="1:9" x14ac:dyDescent="0.25">
      <c r="A1155" s="277"/>
      <c r="B1155" s="389" t="s">
        <v>222</v>
      </c>
      <c r="C1155" s="279"/>
      <c r="D1155" s="426"/>
      <c r="E1155" s="278"/>
      <c r="F1155" s="279"/>
      <c r="G1155" s="262"/>
      <c r="H1155" s="281"/>
      <c r="I1155" s="461">
        <f>I1153+I1154</f>
        <v>2419743.75</v>
      </c>
    </row>
    <row r="1156" spans="1:9" x14ac:dyDescent="0.25">
      <c r="A1156" s="282"/>
      <c r="B1156" s="390" t="s">
        <v>230</v>
      </c>
      <c r="C1156" s="284"/>
      <c r="D1156" s="427"/>
      <c r="E1156" s="283"/>
      <c r="F1156" s="284"/>
      <c r="G1156" s="324"/>
      <c r="H1156" s="325"/>
      <c r="I1156" s="462">
        <f>ROUNDUP(I1155,-2)</f>
        <v>2419800</v>
      </c>
    </row>
    <row r="1157" spans="1:9" x14ac:dyDescent="0.25">
      <c r="A1157" s="268"/>
      <c r="B1157" s="397"/>
      <c r="C1157" s="328"/>
      <c r="D1157" s="440"/>
      <c r="E1157" s="269"/>
      <c r="F1157" s="328"/>
      <c r="G1157" s="329"/>
      <c r="H1157" s="271"/>
      <c r="I1157" s="474"/>
    </row>
    <row r="1158" spans="1:9" x14ac:dyDescent="0.25">
      <c r="A1158" s="258">
        <v>31</v>
      </c>
      <c r="B1158" s="385" t="s">
        <v>101</v>
      </c>
      <c r="C1158" s="261"/>
      <c r="D1158" s="422">
        <v>1</v>
      </c>
      <c r="E1158" s="265" t="s">
        <v>1037</v>
      </c>
      <c r="F1158" s="261"/>
      <c r="G1158" s="262"/>
      <c r="H1158" s="263"/>
      <c r="I1158" s="457"/>
    </row>
    <row r="1159" spans="1:9" x14ac:dyDescent="0.25">
      <c r="A1159" s="258" t="s">
        <v>231</v>
      </c>
      <c r="B1159" s="408" t="s">
        <v>1309</v>
      </c>
      <c r="C1159" s="261"/>
      <c r="D1159" s="448">
        <v>1</v>
      </c>
      <c r="E1159" s="345" t="s">
        <v>25</v>
      </c>
      <c r="F1159" s="261">
        <v>2070000</v>
      </c>
      <c r="G1159" s="263">
        <f>F1159*D1159</f>
        <v>2070000</v>
      </c>
      <c r="I1159" s="457"/>
    </row>
    <row r="1160" spans="1:9" x14ac:dyDescent="0.25">
      <c r="A1160" s="258"/>
      <c r="B1160" s="408" t="s">
        <v>1295</v>
      </c>
      <c r="C1160" s="261"/>
      <c r="D1160" s="448">
        <v>0.25</v>
      </c>
      <c r="E1160" s="345" t="s">
        <v>1294</v>
      </c>
      <c r="F1160" s="261">
        <v>100000</v>
      </c>
      <c r="G1160" s="263">
        <f>F1160*D1160</f>
        <v>25000</v>
      </c>
      <c r="I1160" s="457"/>
    </row>
    <row r="1161" spans="1:9" x14ac:dyDescent="0.25">
      <c r="A1161" s="258"/>
      <c r="B1161" s="408" t="s">
        <v>217</v>
      </c>
      <c r="C1161" s="261"/>
      <c r="D1161" s="448">
        <v>0.1</v>
      </c>
      <c r="E1161" s="345" t="s">
        <v>1229</v>
      </c>
      <c r="F1161" s="261">
        <f>VLOOKUP($B1161,HSU!$B$6:$D$38,3,FALSE)</f>
        <v>70000</v>
      </c>
      <c r="G1161" s="262">
        <f>F1161*D1161</f>
        <v>7000</v>
      </c>
      <c r="H1161" s="263"/>
      <c r="I1161" s="457"/>
    </row>
    <row r="1162" spans="1:9" x14ac:dyDescent="0.25">
      <c r="A1162" s="258"/>
      <c r="B1162" s="408" t="s">
        <v>1293</v>
      </c>
      <c r="C1162" s="261"/>
      <c r="D1162" s="448">
        <v>0.01</v>
      </c>
      <c r="E1162" s="345" t="s">
        <v>1229</v>
      </c>
      <c r="F1162" s="261">
        <f>VLOOKUP($B1162,HSU!$B$6:$D$38,3,FALSE)</f>
        <v>85000</v>
      </c>
      <c r="G1162" s="262">
        <f>F1162*D1162</f>
        <v>850</v>
      </c>
      <c r="H1162" s="263"/>
      <c r="I1162" s="457"/>
    </row>
    <row r="1163" spans="1:9" x14ac:dyDescent="0.25">
      <c r="A1163" s="258"/>
      <c r="B1163" s="408" t="s">
        <v>1161</v>
      </c>
      <c r="C1163" s="261"/>
      <c r="D1163" s="448">
        <v>0.01</v>
      </c>
      <c r="E1163" s="345" t="s">
        <v>1229</v>
      </c>
      <c r="F1163" s="261">
        <f>VLOOKUP($B1163,HSU!$B$6:$D$38,3,FALSE)</f>
        <v>85000</v>
      </c>
      <c r="G1163" s="262">
        <f>F1163*D1163</f>
        <v>850</v>
      </c>
      <c r="H1163" s="263"/>
      <c r="I1163" s="457"/>
    </row>
    <row r="1164" spans="1:9" x14ac:dyDescent="0.25">
      <c r="A1164" s="258"/>
      <c r="B1164" s="408" t="s">
        <v>220</v>
      </c>
      <c r="C1164" s="261"/>
      <c r="D1164" s="448">
        <v>5.0000000000000001E-3</v>
      </c>
      <c r="E1164" s="345" t="s">
        <v>1229</v>
      </c>
      <c r="F1164" s="261">
        <f>VLOOKUP($B1164,HSU!$B$6:$D$38,3,FALSE)</f>
        <v>85000</v>
      </c>
      <c r="G1164" s="262">
        <f>F1164*D1164</f>
        <v>425</v>
      </c>
      <c r="H1164" s="263"/>
      <c r="I1164" s="457"/>
    </row>
    <row r="1165" spans="1:9" x14ac:dyDescent="0.25">
      <c r="A1165" s="272"/>
      <c r="B1165" s="388" t="s">
        <v>222</v>
      </c>
      <c r="C1165" s="274"/>
      <c r="D1165" s="424"/>
      <c r="E1165" s="273"/>
      <c r="F1165" s="274"/>
      <c r="G1165" s="275">
        <f>SUM(G1159:G1164)</f>
        <v>2104125</v>
      </c>
      <c r="H1165" s="275"/>
      <c r="I1165" s="459">
        <f>G1165+H1165</f>
        <v>2104125</v>
      </c>
    </row>
    <row r="1166" spans="1:9" x14ac:dyDescent="0.25">
      <c r="A1166" s="277"/>
      <c r="B1166" s="389" t="s">
        <v>229</v>
      </c>
      <c r="C1166" s="279"/>
      <c r="D1166" s="425"/>
      <c r="E1166" s="278"/>
      <c r="F1166" s="279"/>
      <c r="G1166" s="280"/>
      <c r="H1166" s="281"/>
      <c r="I1166" s="460">
        <f>I1165*0.15</f>
        <v>315618.75</v>
      </c>
    </row>
    <row r="1167" spans="1:9" x14ac:dyDescent="0.25">
      <c r="A1167" s="277"/>
      <c r="B1167" s="389" t="s">
        <v>222</v>
      </c>
      <c r="C1167" s="279"/>
      <c r="D1167" s="426"/>
      <c r="E1167" s="278"/>
      <c r="F1167" s="279"/>
      <c r="G1167" s="262"/>
      <c r="H1167" s="281"/>
      <c r="I1167" s="461">
        <f>I1165+I1166</f>
        <v>2419743.75</v>
      </c>
    </row>
    <row r="1168" spans="1:9" x14ac:dyDescent="0.25">
      <c r="A1168" s="282"/>
      <c r="B1168" s="390" t="s">
        <v>230</v>
      </c>
      <c r="C1168" s="284"/>
      <c r="D1168" s="427"/>
      <c r="E1168" s="283"/>
      <c r="F1168" s="284"/>
      <c r="G1168" s="324"/>
      <c r="H1168" s="325"/>
      <c r="I1168" s="462">
        <f>ROUNDUP(I1167,-2)</f>
        <v>2419800</v>
      </c>
    </row>
    <row r="1169" spans="1:9" x14ac:dyDescent="0.25">
      <c r="A1169" s="268"/>
      <c r="B1169" s="397"/>
      <c r="C1169" s="328"/>
      <c r="D1169" s="440"/>
      <c r="E1169" s="269"/>
      <c r="F1169" s="328"/>
      <c r="G1169" s="329"/>
      <c r="H1169" s="271"/>
      <c r="I1169" s="474"/>
    </row>
    <row r="1170" spans="1:9" x14ac:dyDescent="0.25">
      <c r="A1170" s="258">
        <v>31</v>
      </c>
      <c r="B1170" s="385" t="s">
        <v>102</v>
      </c>
      <c r="C1170" s="261"/>
      <c r="D1170" s="422">
        <v>1</v>
      </c>
      <c r="E1170" s="265" t="s">
        <v>1037</v>
      </c>
      <c r="F1170" s="261"/>
      <c r="G1170" s="262"/>
      <c r="H1170" s="263"/>
      <c r="I1170" s="457"/>
    </row>
    <row r="1171" spans="1:9" x14ac:dyDescent="0.25">
      <c r="A1171" s="258" t="s">
        <v>231</v>
      </c>
      <c r="B1171" s="408" t="s">
        <v>1299</v>
      </c>
      <c r="C1171" s="261"/>
      <c r="D1171" s="448">
        <v>1</v>
      </c>
      <c r="E1171" s="345" t="s">
        <v>25</v>
      </c>
      <c r="F1171" s="261">
        <v>60000</v>
      </c>
      <c r="G1171" s="263">
        <f>F1171*D1171</f>
        <v>60000</v>
      </c>
      <c r="I1171" s="457"/>
    </row>
    <row r="1172" spans="1:9" x14ac:dyDescent="0.25">
      <c r="A1172" s="258"/>
      <c r="B1172" s="408" t="s">
        <v>1295</v>
      </c>
      <c r="C1172" s="261"/>
      <c r="D1172" s="448">
        <v>0.25</v>
      </c>
      <c r="E1172" s="345" t="s">
        <v>1294</v>
      </c>
      <c r="F1172" s="261">
        <v>100000</v>
      </c>
      <c r="G1172" s="263">
        <f>F1172*D1172</f>
        <v>25000</v>
      </c>
      <c r="I1172" s="457"/>
    </row>
    <row r="1173" spans="1:9" x14ac:dyDescent="0.25">
      <c r="A1173" s="258"/>
      <c r="B1173" s="408" t="s">
        <v>217</v>
      </c>
      <c r="C1173" s="261"/>
      <c r="D1173" s="448">
        <v>0.1</v>
      </c>
      <c r="E1173" s="345" t="s">
        <v>1229</v>
      </c>
      <c r="F1173" s="261">
        <f>VLOOKUP($B1173,HSU!$B$6:$D$38,3,FALSE)</f>
        <v>70000</v>
      </c>
      <c r="G1173" s="262">
        <f>F1173*D1173</f>
        <v>7000</v>
      </c>
      <c r="H1173" s="263"/>
      <c r="I1173" s="457"/>
    </row>
    <row r="1174" spans="1:9" x14ac:dyDescent="0.25">
      <c r="A1174" s="258"/>
      <c r="B1174" s="408" t="s">
        <v>1293</v>
      </c>
      <c r="C1174" s="261"/>
      <c r="D1174" s="448">
        <v>0.01</v>
      </c>
      <c r="E1174" s="345" t="s">
        <v>1229</v>
      </c>
      <c r="F1174" s="261">
        <f>VLOOKUP($B1174,HSU!$B$6:$D$38,3,FALSE)</f>
        <v>85000</v>
      </c>
      <c r="G1174" s="262">
        <f>F1174*D1174</f>
        <v>850</v>
      </c>
      <c r="H1174" s="263"/>
      <c r="I1174" s="457"/>
    </row>
    <row r="1175" spans="1:9" x14ac:dyDescent="0.25">
      <c r="A1175" s="258"/>
      <c r="B1175" s="408" t="s">
        <v>1161</v>
      </c>
      <c r="C1175" s="261"/>
      <c r="D1175" s="448">
        <v>0.01</v>
      </c>
      <c r="E1175" s="345" t="s">
        <v>1229</v>
      </c>
      <c r="F1175" s="261">
        <f>VLOOKUP($B1175,HSU!$B$6:$D$38,3,FALSE)</f>
        <v>85000</v>
      </c>
      <c r="G1175" s="262">
        <f>F1175*D1175</f>
        <v>850</v>
      </c>
      <c r="H1175" s="263"/>
      <c r="I1175" s="457"/>
    </row>
    <row r="1176" spans="1:9" x14ac:dyDescent="0.25">
      <c r="A1176" s="258"/>
      <c r="B1176" s="408" t="s">
        <v>220</v>
      </c>
      <c r="C1176" s="261"/>
      <c r="D1176" s="448">
        <v>5.0000000000000001E-3</v>
      </c>
      <c r="E1176" s="345" t="s">
        <v>1229</v>
      </c>
      <c r="F1176" s="261">
        <f>VLOOKUP($B1176,HSU!$B$6:$D$38,3,FALSE)</f>
        <v>85000</v>
      </c>
      <c r="G1176" s="262">
        <f>F1176*D1176</f>
        <v>425</v>
      </c>
      <c r="H1176" s="263"/>
      <c r="I1176" s="457"/>
    </row>
    <row r="1177" spans="1:9" x14ac:dyDescent="0.25">
      <c r="A1177" s="272"/>
      <c r="B1177" s="388" t="s">
        <v>222</v>
      </c>
      <c r="C1177" s="274"/>
      <c r="D1177" s="424"/>
      <c r="E1177" s="273"/>
      <c r="F1177" s="274"/>
      <c r="G1177" s="275">
        <f>SUM(G1171:G1176)</f>
        <v>94125</v>
      </c>
      <c r="H1177" s="275"/>
      <c r="I1177" s="459">
        <f>G1177+H1177</f>
        <v>94125</v>
      </c>
    </row>
    <row r="1178" spans="1:9" x14ac:dyDescent="0.25">
      <c r="A1178" s="277"/>
      <c r="B1178" s="389" t="s">
        <v>229</v>
      </c>
      <c r="C1178" s="279"/>
      <c r="D1178" s="425"/>
      <c r="E1178" s="278"/>
      <c r="F1178" s="279"/>
      <c r="G1178" s="280"/>
      <c r="H1178" s="281"/>
      <c r="I1178" s="460">
        <f>I1177*0.15</f>
        <v>14118.75</v>
      </c>
    </row>
    <row r="1179" spans="1:9" x14ac:dyDescent="0.25">
      <c r="A1179" s="277"/>
      <c r="B1179" s="389" t="s">
        <v>222</v>
      </c>
      <c r="C1179" s="279"/>
      <c r="D1179" s="426"/>
      <c r="E1179" s="278"/>
      <c r="F1179" s="279"/>
      <c r="G1179" s="262"/>
      <c r="H1179" s="281"/>
      <c r="I1179" s="461">
        <f>I1177+I1178</f>
        <v>108243.75</v>
      </c>
    </row>
    <row r="1180" spans="1:9" x14ac:dyDescent="0.25">
      <c r="A1180" s="282"/>
      <c r="B1180" s="390" t="s">
        <v>230</v>
      </c>
      <c r="C1180" s="284"/>
      <c r="D1180" s="427"/>
      <c r="E1180" s="283"/>
      <c r="F1180" s="284"/>
      <c r="G1180" s="324"/>
      <c r="H1180" s="325"/>
      <c r="I1180" s="462">
        <f>ROUNDUP(I1179,-2)</f>
        <v>108300</v>
      </c>
    </row>
    <row r="1181" spans="1:9" x14ac:dyDescent="0.25">
      <c r="A1181" s="268"/>
      <c r="B1181" s="397"/>
      <c r="C1181" s="328"/>
      <c r="D1181" s="440"/>
      <c r="E1181" s="269"/>
      <c r="F1181" s="328"/>
      <c r="G1181" s="329"/>
      <c r="H1181" s="271"/>
      <c r="I1181" s="474"/>
    </row>
    <row r="1182" spans="1:9" x14ac:dyDescent="0.25">
      <c r="A1182" s="258">
        <v>31</v>
      </c>
      <c r="B1182" s="385" t="s">
        <v>103</v>
      </c>
      <c r="C1182" s="261"/>
      <c r="D1182" s="422">
        <v>1</v>
      </c>
      <c r="E1182" s="265" t="s">
        <v>1037</v>
      </c>
      <c r="F1182" s="261"/>
      <c r="G1182" s="262"/>
      <c r="H1182" s="263"/>
      <c r="I1182" s="457"/>
    </row>
    <row r="1183" spans="1:9" x14ac:dyDescent="0.25">
      <c r="A1183" s="258" t="s">
        <v>231</v>
      </c>
      <c r="B1183" s="408" t="s">
        <v>1307</v>
      </c>
      <c r="C1183" s="261"/>
      <c r="D1183" s="448">
        <v>1</v>
      </c>
      <c r="E1183" s="345" t="s">
        <v>25</v>
      </c>
      <c r="F1183" s="261">
        <v>287500</v>
      </c>
      <c r="G1183" s="263">
        <f>F1183*D1183</f>
        <v>287500</v>
      </c>
      <c r="I1183" s="457"/>
    </row>
    <row r="1184" spans="1:9" x14ac:dyDescent="0.25">
      <c r="A1184" s="258"/>
      <c r="B1184" s="408" t="s">
        <v>1295</v>
      </c>
      <c r="C1184" s="261"/>
      <c r="D1184" s="448">
        <v>0.25</v>
      </c>
      <c r="E1184" s="345" t="s">
        <v>1294</v>
      </c>
      <c r="F1184" s="261">
        <v>100000</v>
      </c>
      <c r="G1184" s="263">
        <f>F1184*D1184</f>
        <v>25000</v>
      </c>
      <c r="I1184" s="457"/>
    </row>
    <row r="1185" spans="1:9" x14ac:dyDescent="0.25">
      <c r="A1185" s="258"/>
      <c r="B1185" s="408" t="s">
        <v>217</v>
      </c>
      <c r="C1185" s="261"/>
      <c r="D1185" s="448">
        <v>0.1</v>
      </c>
      <c r="E1185" s="345" t="s">
        <v>1229</v>
      </c>
      <c r="F1185" s="261">
        <f>VLOOKUP($B1185,HSU!$B$6:$D$38,3,FALSE)</f>
        <v>70000</v>
      </c>
      <c r="G1185" s="262">
        <f>F1185*D1185</f>
        <v>7000</v>
      </c>
      <c r="H1185" s="263"/>
      <c r="I1185" s="457"/>
    </row>
    <row r="1186" spans="1:9" x14ac:dyDescent="0.25">
      <c r="A1186" s="258"/>
      <c r="B1186" s="408" t="s">
        <v>1293</v>
      </c>
      <c r="C1186" s="261"/>
      <c r="D1186" s="448">
        <v>0.01</v>
      </c>
      <c r="E1186" s="345" t="s">
        <v>1229</v>
      </c>
      <c r="F1186" s="261">
        <f>VLOOKUP($B1186,HSU!$B$6:$D$38,3,FALSE)</f>
        <v>85000</v>
      </c>
      <c r="G1186" s="262">
        <f>F1186*D1186</f>
        <v>850</v>
      </c>
      <c r="H1186" s="263"/>
      <c r="I1186" s="457"/>
    </row>
    <row r="1187" spans="1:9" x14ac:dyDescent="0.25">
      <c r="A1187" s="258"/>
      <c r="B1187" s="408" t="s">
        <v>1161</v>
      </c>
      <c r="C1187" s="261"/>
      <c r="D1187" s="448">
        <v>0.01</v>
      </c>
      <c r="E1187" s="345" t="s">
        <v>1229</v>
      </c>
      <c r="F1187" s="261">
        <f>VLOOKUP($B1187,HSU!$B$6:$D$38,3,FALSE)</f>
        <v>85000</v>
      </c>
      <c r="G1187" s="262">
        <f>F1187*D1187</f>
        <v>850</v>
      </c>
      <c r="H1187" s="263"/>
      <c r="I1187" s="457"/>
    </row>
    <row r="1188" spans="1:9" x14ac:dyDescent="0.25">
      <c r="A1188" s="258"/>
      <c r="B1188" s="408" t="s">
        <v>220</v>
      </c>
      <c r="C1188" s="261"/>
      <c r="D1188" s="448">
        <v>5.0000000000000001E-3</v>
      </c>
      <c r="E1188" s="345" t="s">
        <v>1229</v>
      </c>
      <c r="F1188" s="261">
        <f>VLOOKUP($B1188,HSU!$B$6:$D$38,3,FALSE)</f>
        <v>85000</v>
      </c>
      <c r="G1188" s="262">
        <f>F1188*D1188</f>
        <v>425</v>
      </c>
      <c r="H1188" s="263"/>
      <c r="I1188" s="457"/>
    </row>
    <row r="1189" spans="1:9" x14ac:dyDescent="0.25">
      <c r="A1189" s="272"/>
      <c r="B1189" s="388" t="s">
        <v>222</v>
      </c>
      <c r="C1189" s="274"/>
      <c r="D1189" s="424"/>
      <c r="E1189" s="273"/>
      <c r="F1189" s="274"/>
      <c r="G1189" s="275">
        <f>SUM(G1183:G1188)</f>
        <v>321625</v>
      </c>
      <c r="H1189" s="275"/>
      <c r="I1189" s="459">
        <f>G1189+H1189</f>
        <v>321625</v>
      </c>
    </row>
    <row r="1190" spans="1:9" x14ac:dyDescent="0.25">
      <c r="A1190" s="277"/>
      <c r="B1190" s="389" t="s">
        <v>229</v>
      </c>
      <c r="C1190" s="279"/>
      <c r="D1190" s="425"/>
      <c r="E1190" s="278"/>
      <c r="F1190" s="279"/>
      <c r="G1190" s="280"/>
      <c r="H1190" s="281"/>
      <c r="I1190" s="460">
        <f>I1189*0.15</f>
        <v>48243.75</v>
      </c>
    </row>
    <row r="1191" spans="1:9" x14ac:dyDescent="0.25">
      <c r="A1191" s="277"/>
      <c r="B1191" s="389" t="s">
        <v>222</v>
      </c>
      <c r="C1191" s="279"/>
      <c r="D1191" s="426"/>
      <c r="E1191" s="278"/>
      <c r="F1191" s="279"/>
      <c r="G1191" s="262"/>
      <c r="H1191" s="281"/>
      <c r="I1191" s="461">
        <f>I1189+I1190</f>
        <v>369868.75</v>
      </c>
    </row>
    <row r="1192" spans="1:9" x14ac:dyDescent="0.25">
      <c r="A1192" s="282"/>
      <c r="B1192" s="390" t="s">
        <v>230</v>
      </c>
      <c r="C1192" s="284"/>
      <c r="D1192" s="427"/>
      <c r="E1192" s="283"/>
      <c r="F1192" s="284"/>
      <c r="G1192" s="324"/>
      <c r="H1192" s="325"/>
      <c r="I1192" s="462">
        <f>ROUNDUP(I1191,-2)</f>
        <v>369900</v>
      </c>
    </row>
    <row r="1193" spans="1:9" x14ac:dyDescent="0.25">
      <c r="A1193" s="268"/>
      <c r="B1193" s="397"/>
      <c r="C1193" s="328"/>
      <c r="D1193" s="440"/>
      <c r="E1193" s="269"/>
      <c r="F1193" s="328"/>
      <c r="G1193" s="329"/>
      <c r="H1193" s="271"/>
      <c r="I1193" s="474"/>
    </row>
    <row r="1194" spans="1:9" x14ac:dyDescent="0.25">
      <c r="A1194" s="258">
        <v>31</v>
      </c>
      <c r="B1194" s="385" t="s">
        <v>104</v>
      </c>
      <c r="C1194" s="261"/>
      <c r="D1194" s="422">
        <v>1</v>
      </c>
      <c r="E1194" s="265" t="s">
        <v>1037</v>
      </c>
      <c r="F1194" s="261"/>
      <c r="G1194" s="262"/>
      <c r="H1194" s="263"/>
      <c r="I1194" s="457"/>
    </row>
    <row r="1195" spans="1:9" x14ac:dyDescent="0.25">
      <c r="A1195" s="258" t="s">
        <v>231</v>
      </c>
      <c r="B1195" s="408" t="s">
        <v>1308</v>
      </c>
      <c r="C1195" s="261"/>
      <c r="D1195" s="448">
        <v>1</v>
      </c>
      <c r="E1195" s="345" t="s">
        <v>25</v>
      </c>
      <c r="F1195" s="261">
        <v>656000</v>
      </c>
      <c r="G1195" s="263">
        <f>F1195*D1195</f>
        <v>656000</v>
      </c>
      <c r="I1195" s="457"/>
    </row>
    <row r="1196" spans="1:9" x14ac:dyDescent="0.25">
      <c r="A1196" s="258"/>
      <c r="B1196" s="408" t="s">
        <v>1295</v>
      </c>
      <c r="C1196" s="261"/>
      <c r="D1196" s="448">
        <v>0.25</v>
      </c>
      <c r="E1196" s="345" t="s">
        <v>1294</v>
      </c>
      <c r="F1196" s="261">
        <v>100000</v>
      </c>
      <c r="G1196" s="263">
        <f>F1196*D1196</f>
        <v>25000</v>
      </c>
      <c r="I1196" s="457"/>
    </row>
    <row r="1197" spans="1:9" x14ac:dyDescent="0.25">
      <c r="A1197" s="258"/>
      <c r="B1197" s="408" t="s">
        <v>217</v>
      </c>
      <c r="C1197" s="261"/>
      <c r="D1197" s="448">
        <v>0.1</v>
      </c>
      <c r="E1197" s="345" t="s">
        <v>1229</v>
      </c>
      <c r="F1197" s="261">
        <f>VLOOKUP($B1197,HSU!$B$6:$D$38,3,FALSE)</f>
        <v>70000</v>
      </c>
      <c r="G1197" s="262">
        <f>F1197*D1197</f>
        <v>7000</v>
      </c>
      <c r="H1197" s="263"/>
      <c r="I1197" s="457"/>
    </row>
    <row r="1198" spans="1:9" x14ac:dyDescent="0.25">
      <c r="A1198" s="258"/>
      <c r="B1198" s="408" t="s">
        <v>1293</v>
      </c>
      <c r="C1198" s="261"/>
      <c r="D1198" s="448">
        <v>0.01</v>
      </c>
      <c r="E1198" s="345" t="s">
        <v>1229</v>
      </c>
      <c r="F1198" s="261">
        <f>VLOOKUP($B1198,HSU!$B$6:$D$38,3,FALSE)</f>
        <v>85000</v>
      </c>
      <c r="G1198" s="262">
        <f>F1198*D1198</f>
        <v>850</v>
      </c>
      <c r="H1198" s="263"/>
      <c r="I1198" s="457"/>
    </row>
    <row r="1199" spans="1:9" x14ac:dyDescent="0.25">
      <c r="A1199" s="258"/>
      <c r="B1199" s="408" t="s">
        <v>1161</v>
      </c>
      <c r="C1199" s="261"/>
      <c r="D1199" s="448">
        <v>0.01</v>
      </c>
      <c r="E1199" s="345" t="s">
        <v>1229</v>
      </c>
      <c r="F1199" s="261">
        <f>VLOOKUP($B1199,HSU!$B$6:$D$38,3,FALSE)</f>
        <v>85000</v>
      </c>
      <c r="G1199" s="262">
        <f>F1199*D1199</f>
        <v>850</v>
      </c>
      <c r="H1199" s="263"/>
      <c r="I1199" s="457"/>
    </row>
    <row r="1200" spans="1:9" x14ac:dyDescent="0.25">
      <c r="A1200" s="258"/>
      <c r="B1200" s="408" t="s">
        <v>220</v>
      </c>
      <c r="C1200" s="261"/>
      <c r="D1200" s="448">
        <v>5.0000000000000001E-3</v>
      </c>
      <c r="E1200" s="345" t="s">
        <v>1229</v>
      </c>
      <c r="F1200" s="261">
        <f>VLOOKUP($B1200,HSU!$B$6:$D$38,3,FALSE)</f>
        <v>85000</v>
      </c>
      <c r="G1200" s="262">
        <f>F1200*D1200</f>
        <v>425</v>
      </c>
      <c r="H1200" s="263"/>
      <c r="I1200" s="457"/>
    </row>
    <row r="1201" spans="1:9" x14ac:dyDescent="0.25">
      <c r="A1201" s="272"/>
      <c r="B1201" s="388" t="s">
        <v>222</v>
      </c>
      <c r="C1201" s="274"/>
      <c r="D1201" s="424"/>
      <c r="E1201" s="273"/>
      <c r="F1201" s="274"/>
      <c r="G1201" s="275">
        <f>SUM(G1195:G1200)</f>
        <v>690125</v>
      </c>
      <c r="H1201" s="275"/>
      <c r="I1201" s="459">
        <f>G1201+H1201</f>
        <v>690125</v>
      </c>
    </row>
    <row r="1202" spans="1:9" x14ac:dyDescent="0.25">
      <c r="A1202" s="277"/>
      <c r="B1202" s="389" t="s">
        <v>229</v>
      </c>
      <c r="C1202" s="279"/>
      <c r="D1202" s="425"/>
      <c r="E1202" s="278"/>
      <c r="F1202" s="279"/>
      <c r="G1202" s="280"/>
      <c r="H1202" s="281"/>
      <c r="I1202" s="460">
        <f>I1201*0.15</f>
        <v>103518.75</v>
      </c>
    </row>
    <row r="1203" spans="1:9" x14ac:dyDescent="0.25">
      <c r="A1203" s="277"/>
      <c r="B1203" s="389" t="s">
        <v>222</v>
      </c>
      <c r="C1203" s="279"/>
      <c r="D1203" s="426"/>
      <c r="E1203" s="278"/>
      <c r="F1203" s="279"/>
      <c r="G1203" s="262"/>
      <c r="H1203" s="281"/>
      <c r="I1203" s="461">
        <f>I1201+I1202</f>
        <v>793643.75</v>
      </c>
    </row>
    <row r="1204" spans="1:9" x14ac:dyDescent="0.25">
      <c r="A1204" s="282"/>
      <c r="B1204" s="390" t="s">
        <v>230</v>
      </c>
      <c r="C1204" s="284"/>
      <c r="D1204" s="427"/>
      <c r="E1204" s="283"/>
      <c r="F1204" s="284"/>
      <c r="G1204" s="324"/>
      <c r="H1204" s="325"/>
      <c r="I1204" s="462">
        <f>ROUNDUP(I1203,-2)</f>
        <v>793700</v>
      </c>
    </row>
    <row r="1205" spans="1:9" x14ac:dyDescent="0.25">
      <c r="A1205" s="268"/>
      <c r="B1205" s="397"/>
      <c r="C1205" s="328"/>
      <c r="D1205" s="440"/>
      <c r="E1205" s="269"/>
      <c r="F1205" s="328"/>
      <c r="G1205" s="329"/>
      <c r="H1205" s="271"/>
      <c r="I1205" s="474"/>
    </row>
    <row r="1206" spans="1:9" x14ac:dyDescent="0.25">
      <c r="A1206" s="258">
        <v>31</v>
      </c>
      <c r="B1206" s="385" t="s">
        <v>105</v>
      </c>
      <c r="C1206" s="261"/>
      <c r="D1206" s="422">
        <v>1</v>
      </c>
      <c r="E1206" s="265" t="s">
        <v>1037</v>
      </c>
      <c r="F1206" s="261"/>
      <c r="G1206" s="262"/>
      <c r="H1206" s="263"/>
      <c r="I1206" s="457"/>
    </row>
    <row r="1207" spans="1:9" x14ac:dyDescent="0.25">
      <c r="A1207" s="258" t="s">
        <v>231</v>
      </c>
      <c r="B1207" s="408" t="s">
        <v>1300</v>
      </c>
      <c r="C1207" s="261"/>
      <c r="D1207" s="448">
        <v>1</v>
      </c>
      <c r="E1207" s="345" t="s">
        <v>25</v>
      </c>
      <c r="F1207" s="261">
        <v>15000</v>
      </c>
      <c r="G1207" s="263">
        <f>F1207*D1207</f>
        <v>15000</v>
      </c>
      <c r="I1207" s="457"/>
    </row>
    <row r="1208" spans="1:9" x14ac:dyDescent="0.25">
      <c r="A1208" s="258"/>
      <c r="B1208" s="408" t="s">
        <v>1295</v>
      </c>
      <c r="C1208" s="261"/>
      <c r="D1208" s="448">
        <v>0.25</v>
      </c>
      <c r="E1208" s="345" t="s">
        <v>1294</v>
      </c>
      <c r="F1208" s="261">
        <v>100000</v>
      </c>
      <c r="G1208" s="263">
        <f>F1208*D1208</f>
        <v>25000</v>
      </c>
      <c r="I1208" s="457"/>
    </row>
    <row r="1209" spans="1:9" x14ac:dyDescent="0.25">
      <c r="A1209" s="258"/>
      <c r="B1209" s="408" t="s">
        <v>217</v>
      </c>
      <c r="C1209" s="261"/>
      <c r="D1209" s="448">
        <v>0.1</v>
      </c>
      <c r="E1209" s="345" t="s">
        <v>1229</v>
      </c>
      <c r="F1209" s="261">
        <f>VLOOKUP($B1209,HSU!$B$6:$D$38,3,FALSE)</f>
        <v>70000</v>
      </c>
      <c r="G1209" s="262">
        <f>F1209*D1209</f>
        <v>7000</v>
      </c>
      <c r="H1209" s="263"/>
      <c r="I1209" s="457"/>
    </row>
    <row r="1210" spans="1:9" x14ac:dyDescent="0.25">
      <c r="A1210" s="258"/>
      <c r="B1210" s="408" t="s">
        <v>1293</v>
      </c>
      <c r="C1210" s="261"/>
      <c r="D1210" s="448">
        <v>0.01</v>
      </c>
      <c r="E1210" s="345" t="s">
        <v>1229</v>
      </c>
      <c r="F1210" s="261">
        <f>VLOOKUP($B1210,HSU!$B$6:$D$38,3,FALSE)</f>
        <v>85000</v>
      </c>
      <c r="G1210" s="262">
        <f>F1210*D1210</f>
        <v>850</v>
      </c>
      <c r="H1210" s="263"/>
      <c r="I1210" s="457"/>
    </row>
    <row r="1211" spans="1:9" x14ac:dyDescent="0.25">
      <c r="A1211" s="258"/>
      <c r="B1211" s="408" t="s">
        <v>1161</v>
      </c>
      <c r="C1211" s="261"/>
      <c r="D1211" s="448">
        <v>0.01</v>
      </c>
      <c r="E1211" s="345" t="s">
        <v>1229</v>
      </c>
      <c r="F1211" s="261">
        <f>VLOOKUP($B1211,HSU!$B$6:$D$38,3,FALSE)</f>
        <v>85000</v>
      </c>
      <c r="G1211" s="262">
        <f>F1211*D1211</f>
        <v>850</v>
      </c>
      <c r="H1211" s="263"/>
      <c r="I1211" s="457"/>
    </row>
    <row r="1212" spans="1:9" x14ac:dyDescent="0.25">
      <c r="A1212" s="258"/>
      <c r="B1212" s="408" t="s">
        <v>220</v>
      </c>
      <c r="C1212" s="261"/>
      <c r="D1212" s="448">
        <v>5.0000000000000001E-3</v>
      </c>
      <c r="E1212" s="345" t="s">
        <v>1229</v>
      </c>
      <c r="F1212" s="261">
        <f>VLOOKUP($B1212,HSU!$B$6:$D$38,3,FALSE)</f>
        <v>85000</v>
      </c>
      <c r="G1212" s="262">
        <f>F1212*D1212</f>
        <v>425</v>
      </c>
      <c r="H1212" s="263"/>
      <c r="I1212" s="457"/>
    </row>
    <row r="1213" spans="1:9" x14ac:dyDescent="0.25">
      <c r="A1213" s="272"/>
      <c r="B1213" s="388" t="s">
        <v>222</v>
      </c>
      <c r="C1213" s="274"/>
      <c r="D1213" s="424"/>
      <c r="E1213" s="273"/>
      <c r="F1213" s="274"/>
      <c r="G1213" s="275">
        <f>SUM(G1207:G1212)</f>
        <v>49125</v>
      </c>
      <c r="H1213" s="275"/>
      <c r="I1213" s="459">
        <f>G1213+H1213</f>
        <v>49125</v>
      </c>
    </row>
    <row r="1214" spans="1:9" x14ac:dyDescent="0.25">
      <c r="A1214" s="277"/>
      <c r="B1214" s="389" t="s">
        <v>229</v>
      </c>
      <c r="C1214" s="279"/>
      <c r="D1214" s="425"/>
      <c r="E1214" s="278"/>
      <c r="F1214" s="279"/>
      <c r="G1214" s="280"/>
      <c r="H1214" s="281"/>
      <c r="I1214" s="460">
        <f>I1213*0.15</f>
        <v>7368.75</v>
      </c>
    </row>
    <row r="1215" spans="1:9" x14ac:dyDescent="0.25">
      <c r="A1215" s="277"/>
      <c r="B1215" s="389" t="s">
        <v>222</v>
      </c>
      <c r="C1215" s="279"/>
      <c r="D1215" s="426"/>
      <c r="E1215" s="278"/>
      <c r="F1215" s="279"/>
      <c r="G1215" s="262"/>
      <c r="H1215" s="281"/>
      <c r="I1215" s="461">
        <f>I1213+I1214</f>
        <v>56493.75</v>
      </c>
    </row>
    <row r="1216" spans="1:9" x14ac:dyDescent="0.25">
      <c r="A1216" s="282"/>
      <c r="B1216" s="390" t="s">
        <v>230</v>
      </c>
      <c r="C1216" s="284"/>
      <c r="D1216" s="427"/>
      <c r="E1216" s="283"/>
      <c r="F1216" s="284"/>
      <c r="G1216" s="324"/>
      <c r="H1216" s="325"/>
      <c r="I1216" s="462">
        <f>ROUNDUP(I1215,-2)</f>
        <v>56500</v>
      </c>
    </row>
    <row r="1217" spans="1:9" x14ac:dyDescent="0.25">
      <c r="A1217" s="268"/>
      <c r="B1217" s="397"/>
      <c r="C1217" s="328"/>
      <c r="D1217" s="440"/>
      <c r="E1217" s="269"/>
      <c r="F1217" s="328"/>
      <c r="G1217" s="329"/>
      <c r="H1217" s="271"/>
      <c r="I1217" s="474"/>
    </row>
    <row r="1218" spans="1:9" x14ac:dyDescent="0.25">
      <c r="A1218" s="258">
        <v>31</v>
      </c>
      <c r="B1218" s="385" t="s">
        <v>106</v>
      </c>
      <c r="C1218" s="261"/>
      <c r="D1218" s="422">
        <v>1</v>
      </c>
      <c r="E1218" s="265" t="s">
        <v>1037</v>
      </c>
      <c r="F1218" s="261"/>
      <c r="G1218" s="262"/>
      <c r="H1218" s="263"/>
      <c r="I1218" s="457"/>
    </row>
    <row r="1219" spans="1:9" x14ac:dyDescent="0.25">
      <c r="A1219" s="258" t="s">
        <v>231</v>
      </c>
      <c r="B1219" s="408" t="s">
        <v>1302</v>
      </c>
      <c r="C1219" s="261"/>
      <c r="D1219" s="448">
        <v>1</v>
      </c>
      <c r="E1219" s="345" t="s">
        <v>25</v>
      </c>
      <c r="F1219" s="261">
        <v>305000</v>
      </c>
      <c r="G1219" s="263">
        <f>F1219*D1219</f>
        <v>305000</v>
      </c>
      <c r="I1219" s="457"/>
    </row>
    <row r="1220" spans="1:9" x14ac:dyDescent="0.25">
      <c r="A1220" s="258"/>
      <c r="B1220" s="408" t="s">
        <v>1301</v>
      </c>
      <c r="C1220" s="261"/>
      <c r="D1220" s="448">
        <v>1</v>
      </c>
      <c r="E1220" s="345" t="s">
        <v>1244</v>
      </c>
      <c r="F1220" s="261">
        <f>HSM!E850</f>
        <v>2475</v>
      </c>
      <c r="G1220" s="263"/>
      <c r="I1220" s="457"/>
    </row>
    <row r="1221" spans="1:9" x14ac:dyDescent="0.25">
      <c r="A1221" s="258"/>
      <c r="B1221" s="408" t="s">
        <v>1295</v>
      </c>
      <c r="C1221" s="261"/>
      <c r="D1221" s="448">
        <v>0.25</v>
      </c>
      <c r="E1221" s="345" t="s">
        <v>1294</v>
      </c>
      <c r="F1221" s="261">
        <v>100000</v>
      </c>
      <c r="G1221" s="263">
        <f>F1221*D1221</f>
        <v>25000</v>
      </c>
      <c r="I1221" s="457"/>
    </row>
    <row r="1222" spans="1:9" x14ac:dyDescent="0.25">
      <c r="A1222" s="258"/>
      <c r="B1222" s="408" t="s">
        <v>217</v>
      </c>
      <c r="C1222" s="261"/>
      <c r="D1222" s="448">
        <v>0.1</v>
      </c>
      <c r="E1222" s="345" t="s">
        <v>1229</v>
      </c>
      <c r="F1222" s="261">
        <f>VLOOKUP($B1222,HSU!$B$6:$D$38,3,FALSE)</f>
        <v>70000</v>
      </c>
      <c r="G1222" s="262">
        <f>F1222*D1222</f>
        <v>7000</v>
      </c>
      <c r="H1222" s="263"/>
      <c r="I1222" s="457"/>
    </row>
    <row r="1223" spans="1:9" x14ac:dyDescent="0.25">
      <c r="A1223" s="258"/>
      <c r="B1223" s="408" t="s">
        <v>1293</v>
      </c>
      <c r="C1223" s="261"/>
      <c r="D1223" s="448">
        <v>0.01</v>
      </c>
      <c r="E1223" s="345" t="s">
        <v>1229</v>
      </c>
      <c r="F1223" s="261">
        <f>VLOOKUP($B1223,HSU!$B$6:$D$38,3,FALSE)</f>
        <v>85000</v>
      </c>
      <c r="G1223" s="262">
        <f>F1223*D1223</f>
        <v>850</v>
      </c>
      <c r="H1223" s="263"/>
      <c r="I1223" s="457"/>
    </row>
    <row r="1224" spans="1:9" x14ac:dyDescent="0.25">
      <c r="A1224" s="258"/>
      <c r="B1224" s="408" t="s">
        <v>1161</v>
      </c>
      <c r="C1224" s="261"/>
      <c r="D1224" s="448">
        <v>0.01</v>
      </c>
      <c r="E1224" s="345" t="s">
        <v>1229</v>
      </c>
      <c r="F1224" s="261">
        <f>VLOOKUP($B1224,HSU!$B$6:$D$38,3,FALSE)</f>
        <v>85000</v>
      </c>
      <c r="G1224" s="262">
        <f>F1224*D1224</f>
        <v>850</v>
      </c>
      <c r="H1224" s="263"/>
      <c r="I1224" s="457"/>
    </row>
    <row r="1225" spans="1:9" x14ac:dyDescent="0.25">
      <c r="A1225" s="258"/>
      <c r="B1225" s="408" t="s">
        <v>220</v>
      </c>
      <c r="C1225" s="261"/>
      <c r="D1225" s="448">
        <v>5.0000000000000001E-3</v>
      </c>
      <c r="E1225" s="345" t="s">
        <v>1229</v>
      </c>
      <c r="F1225" s="261">
        <f>VLOOKUP($B1225,HSU!$B$6:$D$38,3,FALSE)</f>
        <v>85000</v>
      </c>
      <c r="G1225" s="262">
        <f>F1225*D1225</f>
        <v>425</v>
      </c>
      <c r="H1225" s="263"/>
      <c r="I1225" s="457"/>
    </row>
    <row r="1226" spans="1:9" x14ac:dyDescent="0.25">
      <c r="A1226" s="272"/>
      <c r="B1226" s="388" t="s">
        <v>222</v>
      </c>
      <c r="C1226" s="274"/>
      <c r="D1226" s="424"/>
      <c r="E1226" s="273"/>
      <c r="F1226" s="274"/>
      <c r="G1226" s="275">
        <f>SUM(G1219:G1225)</f>
        <v>339125</v>
      </c>
      <c r="H1226" s="275"/>
      <c r="I1226" s="459">
        <f>G1226+H1226</f>
        <v>339125</v>
      </c>
    </row>
    <row r="1227" spans="1:9" x14ac:dyDescent="0.25">
      <c r="A1227" s="277"/>
      <c r="B1227" s="389" t="s">
        <v>229</v>
      </c>
      <c r="C1227" s="279"/>
      <c r="D1227" s="425"/>
      <c r="E1227" s="278"/>
      <c r="F1227" s="279"/>
      <c r="G1227" s="280"/>
      <c r="H1227" s="281"/>
      <c r="I1227" s="460">
        <f>I1226*0.15</f>
        <v>50868.75</v>
      </c>
    </row>
    <row r="1228" spans="1:9" x14ac:dyDescent="0.25">
      <c r="A1228" s="277"/>
      <c r="B1228" s="389" t="s">
        <v>222</v>
      </c>
      <c r="C1228" s="279"/>
      <c r="D1228" s="426"/>
      <c r="E1228" s="278"/>
      <c r="F1228" s="279"/>
      <c r="G1228" s="262"/>
      <c r="H1228" s="281"/>
      <c r="I1228" s="461">
        <f>I1226+I1227</f>
        <v>389993.75</v>
      </c>
    </row>
    <row r="1229" spans="1:9" x14ac:dyDescent="0.25">
      <c r="A1229" s="282"/>
      <c r="B1229" s="390" t="s">
        <v>230</v>
      </c>
      <c r="C1229" s="284"/>
      <c r="D1229" s="427"/>
      <c r="E1229" s="283"/>
      <c r="F1229" s="284"/>
      <c r="G1229" s="324"/>
      <c r="H1229" s="325"/>
      <c r="I1229" s="462">
        <f>ROUNDUP(I1228,-2)</f>
        <v>390000</v>
      </c>
    </row>
    <row r="1230" spans="1:9" x14ac:dyDescent="0.25">
      <c r="A1230" s="268"/>
      <c r="B1230" s="397"/>
      <c r="C1230" s="328"/>
      <c r="D1230" s="440"/>
      <c r="E1230" s="269"/>
      <c r="F1230" s="328"/>
      <c r="G1230" s="329"/>
      <c r="H1230" s="271"/>
      <c r="I1230" s="474"/>
    </row>
    <row r="1231" spans="1:9" x14ac:dyDescent="0.25">
      <c r="A1231" s="258">
        <v>31</v>
      </c>
      <c r="B1231" s="385" t="s">
        <v>107</v>
      </c>
      <c r="C1231" s="261"/>
      <c r="D1231" s="422">
        <v>1</v>
      </c>
      <c r="E1231" s="265" t="s">
        <v>1037</v>
      </c>
      <c r="F1231" s="261"/>
      <c r="G1231" s="262"/>
      <c r="H1231" s="263"/>
      <c r="I1231" s="457"/>
    </row>
    <row r="1232" spans="1:9" x14ac:dyDescent="0.25">
      <c r="A1232" s="258" t="s">
        <v>231</v>
      </c>
      <c r="B1232" s="408" t="s">
        <v>1303</v>
      </c>
      <c r="C1232" s="261"/>
      <c r="D1232" s="448">
        <v>1</v>
      </c>
      <c r="E1232" s="345" t="s">
        <v>25</v>
      </c>
      <c r="F1232" s="261">
        <v>1600000</v>
      </c>
      <c r="G1232" s="263">
        <f>F1232*D1232</f>
        <v>1600000</v>
      </c>
      <c r="I1232" s="457"/>
    </row>
    <row r="1233" spans="1:9" x14ac:dyDescent="0.25">
      <c r="A1233" s="258"/>
      <c r="B1233" s="408" t="s">
        <v>1301</v>
      </c>
      <c r="C1233" s="261"/>
      <c r="D1233" s="448">
        <v>1</v>
      </c>
      <c r="E1233" s="345" t="s">
        <v>1244</v>
      </c>
      <c r="F1233" s="261">
        <f>HSM!E863</f>
        <v>17325</v>
      </c>
      <c r="G1233" s="263"/>
      <c r="I1233" s="457"/>
    </row>
    <row r="1234" spans="1:9" x14ac:dyDescent="0.25">
      <c r="A1234" s="258"/>
      <c r="B1234" s="408" t="s">
        <v>1295</v>
      </c>
      <c r="C1234" s="261"/>
      <c r="D1234" s="448">
        <v>0.25</v>
      </c>
      <c r="E1234" s="345" t="s">
        <v>1294</v>
      </c>
      <c r="F1234" s="261">
        <v>100000</v>
      </c>
      <c r="G1234" s="263">
        <f>F1234*D1234</f>
        <v>25000</v>
      </c>
      <c r="I1234" s="457"/>
    </row>
    <row r="1235" spans="1:9" x14ac:dyDescent="0.25">
      <c r="A1235" s="258"/>
      <c r="B1235" s="408" t="s">
        <v>217</v>
      </c>
      <c r="C1235" s="261"/>
      <c r="D1235" s="448">
        <v>0.1</v>
      </c>
      <c r="E1235" s="345" t="s">
        <v>1229</v>
      </c>
      <c r="F1235" s="261">
        <f>VLOOKUP($B1235,HSU!$B$6:$D$38,3,FALSE)</f>
        <v>70000</v>
      </c>
      <c r="G1235" s="262">
        <f>F1235*D1235</f>
        <v>7000</v>
      </c>
      <c r="H1235" s="263"/>
      <c r="I1235" s="457"/>
    </row>
    <row r="1236" spans="1:9" x14ac:dyDescent="0.25">
      <c r="A1236" s="258"/>
      <c r="B1236" s="408" t="s">
        <v>1293</v>
      </c>
      <c r="C1236" s="261"/>
      <c r="D1236" s="448">
        <v>0.01</v>
      </c>
      <c r="E1236" s="345" t="s">
        <v>1229</v>
      </c>
      <c r="F1236" s="261">
        <f>VLOOKUP($B1236,HSU!$B$6:$D$38,3,FALSE)</f>
        <v>85000</v>
      </c>
      <c r="G1236" s="262">
        <f>F1236*D1236</f>
        <v>850</v>
      </c>
      <c r="H1236" s="263"/>
      <c r="I1236" s="457"/>
    </row>
    <row r="1237" spans="1:9" x14ac:dyDescent="0.25">
      <c r="A1237" s="258"/>
      <c r="B1237" s="408" t="s">
        <v>1161</v>
      </c>
      <c r="C1237" s="261"/>
      <c r="D1237" s="448">
        <v>0.01</v>
      </c>
      <c r="E1237" s="345" t="s">
        <v>1229</v>
      </c>
      <c r="F1237" s="261">
        <f>VLOOKUP($B1237,HSU!$B$6:$D$38,3,FALSE)</f>
        <v>85000</v>
      </c>
      <c r="G1237" s="262">
        <f>F1237*D1237</f>
        <v>850</v>
      </c>
      <c r="H1237" s="263"/>
      <c r="I1237" s="457"/>
    </row>
    <row r="1238" spans="1:9" x14ac:dyDescent="0.25">
      <c r="A1238" s="258"/>
      <c r="B1238" s="408" t="s">
        <v>220</v>
      </c>
      <c r="C1238" s="261"/>
      <c r="D1238" s="448">
        <v>5.0000000000000001E-3</v>
      </c>
      <c r="E1238" s="345" t="s">
        <v>1229</v>
      </c>
      <c r="F1238" s="261">
        <f>VLOOKUP($B1238,HSU!$B$6:$D$38,3,FALSE)</f>
        <v>85000</v>
      </c>
      <c r="G1238" s="262">
        <f>F1238*D1238</f>
        <v>425</v>
      </c>
      <c r="H1238" s="263"/>
      <c r="I1238" s="457"/>
    </row>
    <row r="1239" spans="1:9" x14ac:dyDescent="0.25">
      <c r="A1239" s="272"/>
      <c r="B1239" s="388" t="s">
        <v>222</v>
      </c>
      <c r="C1239" s="274"/>
      <c r="D1239" s="424"/>
      <c r="E1239" s="273"/>
      <c r="F1239" s="274"/>
      <c r="G1239" s="275">
        <f>SUM(G1232:G1238)</f>
        <v>1634125</v>
      </c>
      <c r="H1239" s="275"/>
      <c r="I1239" s="459">
        <f>G1239+H1239</f>
        <v>1634125</v>
      </c>
    </row>
    <row r="1240" spans="1:9" x14ac:dyDescent="0.25">
      <c r="A1240" s="277"/>
      <c r="B1240" s="389" t="s">
        <v>229</v>
      </c>
      <c r="C1240" s="279"/>
      <c r="D1240" s="425"/>
      <c r="E1240" s="278"/>
      <c r="F1240" s="279"/>
      <c r="G1240" s="280"/>
      <c r="H1240" s="281"/>
      <c r="I1240" s="460">
        <f>I1239*0.15</f>
        <v>245118.75</v>
      </c>
    </row>
    <row r="1241" spans="1:9" x14ac:dyDescent="0.25">
      <c r="A1241" s="277"/>
      <c r="B1241" s="389" t="s">
        <v>222</v>
      </c>
      <c r="C1241" s="279"/>
      <c r="D1241" s="426"/>
      <c r="E1241" s="278"/>
      <c r="F1241" s="279"/>
      <c r="G1241" s="262"/>
      <c r="H1241" s="281"/>
      <c r="I1241" s="461">
        <f>I1239+I1240</f>
        <v>1879243.75</v>
      </c>
    </row>
    <row r="1242" spans="1:9" x14ac:dyDescent="0.25">
      <c r="A1242" s="282"/>
      <c r="B1242" s="390" t="s">
        <v>230</v>
      </c>
      <c r="C1242" s="284"/>
      <c r="D1242" s="427"/>
      <c r="E1242" s="283"/>
      <c r="F1242" s="284"/>
      <c r="G1242" s="324"/>
      <c r="H1242" s="325"/>
      <c r="I1242" s="462">
        <f>ROUNDUP(I1241,-2)</f>
        <v>1879300</v>
      </c>
    </row>
    <row r="1243" spans="1:9" x14ac:dyDescent="0.25">
      <c r="A1243" s="268"/>
      <c r="B1243" s="397"/>
      <c r="C1243" s="328"/>
      <c r="D1243" s="440"/>
      <c r="E1243" s="269"/>
      <c r="F1243" s="328"/>
      <c r="G1243" s="329"/>
      <c r="H1243" s="271"/>
      <c r="I1243" s="474"/>
    </row>
    <row r="1244" spans="1:9" x14ac:dyDescent="0.25">
      <c r="A1244" s="258">
        <v>31</v>
      </c>
      <c r="B1244" s="385" t="s">
        <v>108</v>
      </c>
      <c r="C1244" s="261"/>
      <c r="D1244" s="422">
        <v>1</v>
      </c>
      <c r="E1244" s="265" t="s">
        <v>1037</v>
      </c>
      <c r="F1244" s="261"/>
      <c r="G1244" s="262"/>
      <c r="H1244" s="263"/>
      <c r="I1244" s="457"/>
    </row>
    <row r="1245" spans="1:9" x14ac:dyDescent="0.25">
      <c r="A1245" s="258" t="s">
        <v>231</v>
      </c>
      <c r="B1245" s="408" t="s">
        <v>1304</v>
      </c>
      <c r="C1245" s="261"/>
      <c r="D1245" s="448">
        <v>1</v>
      </c>
      <c r="E1245" s="345" t="s">
        <v>25</v>
      </c>
      <c r="F1245" s="261">
        <v>1890000</v>
      </c>
      <c r="G1245" s="263">
        <f>F1245*D1245</f>
        <v>1890000</v>
      </c>
      <c r="I1245" s="457"/>
    </row>
    <row r="1246" spans="1:9" x14ac:dyDescent="0.25">
      <c r="A1246" s="258"/>
      <c r="B1246" s="408" t="s">
        <v>1305</v>
      </c>
      <c r="C1246" s="261"/>
      <c r="D1246" s="448">
        <v>0.06</v>
      </c>
      <c r="E1246" s="345"/>
      <c r="F1246" s="261">
        <v>1890000</v>
      </c>
      <c r="G1246" s="263">
        <f>F1246*D1246</f>
        <v>113400</v>
      </c>
      <c r="I1246" s="457"/>
    </row>
    <row r="1247" spans="1:9" x14ac:dyDescent="0.25">
      <c r="A1247" s="258"/>
      <c r="B1247" s="408" t="s">
        <v>1295</v>
      </c>
      <c r="C1247" s="261"/>
      <c r="D1247" s="448">
        <v>0.25</v>
      </c>
      <c r="E1247" s="345" t="s">
        <v>1294</v>
      </c>
      <c r="F1247" s="261">
        <v>100000</v>
      </c>
      <c r="G1247" s="263">
        <f>F1247*D1247</f>
        <v>25000</v>
      </c>
      <c r="I1247" s="457"/>
    </row>
    <row r="1248" spans="1:9" x14ac:dyDescent="0.25">
      <c r="A1248" s="258"/>
      <c r="B1248" s="408" t="s">
        <v>217</v>
      </c>
      <c r="C1248" s="261"/>
      <c r="D1248" s="448">
        <v>0.1</v>
      </c>
      <c r="E1248" s="345" t="s">
        <v>1229</v>
      </c>
      <c r="F1248" s="261">
        <f>VLOOKUP($B1248,HSU!$B$6:$D$38,3,FALSE)</f>
        <v>70000</v>
      </c>
      <c r="G1248" s="262">
        <f>F1248*D1248</f>
        <v>7000</v>
      </c>
      <c r="H1248" s="263"/>
      <c r="I1248" s="457"/>
    </row>
    <row r="1249" spans="1:9" x14ac:dyDescent="0.25">
      <c r="A1249" s="258"/>
      <c r="B1249" s="408" t="s">
        <v>1293</v>
      </c>
      <c r="C1249" s="261"/>
      <c r="D1249" s="448">
        <v>0.01</v>
      </c>
      <c r="E1249" s="345" t="s">
        <v>1229</v>
      </c>
      <c r="F1249" s="261">
        <f>VLOOKUP($B1249,HSU!$B$6:$D$38,3,FALSE)</f>
        <v>85000</v>
      </c>
      <c r="G1249" s="262">
        <f>F1249*D1249</f>
        <v>850</v>
      </c>
      <c r="H1249" s="263"/>
      <c r="I1249" s="457"/>
    </row>
    <row r="1250" spans="1:9" x14ac:dyDescent="0.25">
      <c r="A1250" s="258"/>
      <c r="B1250" s="408" t="s">
        <v>1161</v>
      </c>
      <c r="C1250" s="261"/>
      <c r="D1250" s="448">
        <v>0.01</v>
      </c>
      <c r="E1250" s="345" t="s">
        <v>1229</v>
      </c>
      <c r="F1250" s="261">
        <f>VLOOKUP($B1250,HSU!$B$6:$D$38,3,FALSE)</f>
        <v>85000</v>
      </c>
      <c r="G1250" s="262">
        <f>F1250*D1250</f>
        <v>850</v>
      </c>
      <c r="H1250" s="263"/>
      <c r="I1250" s="457"/>
    </row>
    <row r="1251" spans="1:9" x14ac:dyDescent="0.25">
      <c r="A1251" s="258"/>
      <c r="B1251" s="408" t="s">
        <v>220</v>
      </c>
      <c r="C1251" s="261"/>
      <c r="D1251" s="448">
        <v>5.0000000000000001E-3</v>
      </c>
      <c r="E1251" s="345" t="s">
        <v>1229</v>
      </c>
      <c r="F1251" s="261">
        <f>VLOOKUP($B1251,HSU!$B$6:$D$38,3,FALSE)</f>
        <v>85000</v>
      </c>
      <c r="G1251" s="262">
        <f>F1251*D1251</f>
        <v>425</v>
      </c>
      <c r="H1251" s="263"/>
      <c r="I1251" s="457"/>
    </row>
    <row r="1252" spans="1:9" x14ac:dyDescent="0.25">
      <c r="A1252" s="272"/>
      <c r="B1252" s="388" t="s">
        <v>222</v>
      </c>
      <c r="C1252" s="274"/>
      <c r="D1252" s="424"/>
      <c r="E1252" s="273"/>
      <c r="F1252" s="274"/>
      <c r="G1252" s="275">
        <f>SUM(G1245:G1251)</f>
        <v>2037525</v>
      </c>
      <c r="H1252" s="275">
        <f>SUM(H1245:H1248)</f>
        <v>0</v>
      </c>
      <c r="I1252" s="459">
        <f>G1252+H1252</f>
        <v>2037525</v>
      </c>
    </row>
    <row r="1253" spans="1:9" x14ac:dyDescent="0.25">
      <c r="A1253" s="277"/>
      <c r="B1253" s="389" t="s">
        <v>229</v>
      </c>
      <c r="C1253" s="279"/>
      <c r="D1253" s="425"/>
      <c r="E1253" s="278"/>
      <c r="F1253" s="279"/>
      <c r="G1253" s="280"/>
      <c r="H1253" s="281"/>
      <c r="I1253" s="460">
        <f>I1252*0.15</f>
        <v>305628.75</v>
      </c>
    </row>
    <row r="1254" spans="1:9" x14ac:dyDescent="0.25">
      <c r="A1254" s="277"/>
      <c r="B1254" s="389" t="s">
        <v>222</v>
      </c>
      <c r="C1254" s="279"/>
      <c r="D1254" s="426"/>
      <c r="E1254" s="278"/>
      <c r="F1254" s="279"/>
      <c r="G1254" s="262"/>
      <c r="H1254" s="281"/>
      <c r="I1254" s="461">
        <f>I1252+I1253</f>
        <v>2343153.75</v>
      </c>
    </row>
    <row r="1255" spans="1:9" x14ac:dyDescent="0.25">
      <c r="A1255" s="282"/>
      <c r="B1255" s="390" t="s">
        <v>230</v>
      </c>
      <c r="C1255" s="284"/>
      <c r="D1255" s="427"/>
      <c r="E1255" s="283"/>
      <c r="F1255" s="284"/>
      <c r="G1255" s="324"/>
      <c r="H1255" s="325"/>
      <c r="I1255" s="462">
        <f>ROUNDUP(I1254,-2)</f>
        <v>2343200</v>
      </c>
    </row>
    <row r="1256" spans="1:9" x14ac:dyDescent="0.25">
      <c r="A1256" s="268"/>
      <c r="B1256" s="397"/>
      <c r="C1256" s="328"/>
      <c r="D1256" s="440"/>
      <c r="E1256" s="269"/>
      <c r="F1256" s="328"/>
      <c r="G1256" s="329"/>
      <c r="H1256" s="271"/>
      <c r="I1256" s="474"/>
    </row>
    <row r="1257" spans="1:9" ht="26.25" x14ac:dyDescent="0.25">
      <c r="A1257" s="258">
        <v>31</v>
      </c>
      <c r="B1257" s="385" t="s">
        <v>109</v>
      </c>
      <c r="C1257" s="261"/>
      <c r="D1257" s="422">
        <v>1</v>
      </c>
      <c r="E1257" s="265" t="s">
        <v>16</v>
      </c>
      <c r="F1257" s="261"/>
      <c r="G1257" s="262"/>
      <c r="H1257" s="263"/>
      <c r="I1257" s="457"/>
    </row>
    <row r="1258" spans="1:9" x14ac:dyDescent="0.25">
      <c r="A1258" s="258" t="s">
        <v>231</v>
      </c>
      <c r="B1258" s="408" t="s">
        <v>1306</v>
      </c>
      <c r="C1258" s="261"/>
      <c r="D1258" s="448">
        <v>1.2</v>
      </c>
      <c r="E1258" s="345" t="s">
        <v>16</v>
      </c>
      <c r="F1258" s="261">
        <f>HSM!E95/4</f>
        <v>6525</v>
      </c>
      <c r="G1258" s="263">
        <f>F1258*D1258</f>
        <v>7830</v>
      </c>
      <c r="I1258" s="457"/>
    </row>
    <row r="1259" spans="1:9" x14ac:dyDescent="0.25">
      <c r="A1259" s="258"/>
      <c r="B1259" s="408" t="s">
        <v>1305</v>
      </c>
      <c r="C1259" s="261"/>
      <c r="D1259" s="448">
        <v>3.5000000000000003E-2</v>
      </c>
      <c r="E1259" s="345"/>
      <c r="F1259" s="261">
        <v>1890000</v>
      </c>
      <c r="G1259" s="263">
        <f>F1259*D1259</f>
        <v>66150</v>
      </c>
      <c r="I1259" s="457"/>
    </row>
    <row r="1260" spans="1:9" x14ac:dyDescent="0.25">
      <c r="A1260" s="258"/>
      <c r="B1260" s="408" t="s">
        <v>1295</v>
      </c>
      <c r="C1260" s="261"/>
      <c r="D1260" s="448">
        <v>0.25</v>
      </c>
      <c r="E1260" s="345" t="s">
        <v>1294</v>
      </c>
      <c r="F1260" s="261">
        <v>100000</v>
      </c>
      <c r="G1260" s="263">
        <f>F1260*D1260</f>
        <v>25000</v>
      </c>
      <c r="I1260" s="457"/>
    </row>
    <row r="1261" spans="1:9" x14ac:dyDescent="0.25">
      <c r="A1261" s="258"/>
      <c r="B1261" s="408" t="s">
        <v>217</v>
      </c>
      <c r="C1261" s="261"/>
      <c r="D1261" s="448">
        <v>0.1</v>
      </c>
      <c r="E1261" s="345" t="s">
        <v>1229</v>
      </c>
      <c r="F1261" s="261">
        <f>VLOOKUP($B1261,HSU!$B$6:$D$38,3,FALSE)</f>
        <v>70000</v>
      </c>
      <c r="G1261" s="262">
        <f>F1261*D1261</f>
        <v>7000</v>
      </c>
      <c r="H1261" s="263"/>
      <c r="I1261" s="457"/>
    </row>
    <row r="1262" spans="1:9" x14ac:dyDescent="0.25">
      <c r="A1262" s="258"/>
      <c r="B1262" s="408" t="s">
        <v>1293</v>
      </c>
      <c r="C1262" s="261"/>
      <c r="D1262" s="448">
        <v>0.01</v>
      </c>
      <c r="E1262" s="345" t="s">
        <v>1229</v>
      </c>
      <c r="F1262" s="261">
        <f>VLOOKUP($B1262,HSU!$B$6:$D$38,3,FALSE)</f>
        <v>85000</v>
      </c>
      <c r="G1262" s="262">
        <f>F1262*D1262</f>
        <v>850</v>
      </c>
      <c r="H1262" s="263"/>
      <c r="I1262" s="457"/>
    </row>
    <row r="1263" spans="1:9" x14ac:dyDescent="0.25">
      <c r="A1263" s="258"/>
      <c r="B1263" s="408" t="s">
        <v>1161</v>
      </c>
      <c r="C1263" s="261"/>
      <c r="D1263" s="448">
        <v>0.01</v>
      </c>
      <c r="E1263" s="345" t="s">
        <v>1229</v>
      </c>
      <c r="F1263" s="261">
        <f>VLOOKUP($B1263,HSU!$B$6:$D$38,3,FALSE)</f>
        <v>85000</v>
      </c>
      <c r="G1263" s="262">
        <f>F1263*D1263</f>
        <v>850</v>
      </c>
      <c r="H1263" s="263"/>
      <c r="I1263" s="457"/>
    </row>
    <row r="1264" spans="1:9" x14ac:dyDescent="0.25">
      <c r="A1264" s="258"/>
      <c r="B1264" s="408" t="s">
        <v>220</v>
      </c>
      <c r="C1264" s="261"/>
      <c r="D1264" s="448">
        <v>5.0000000000000001E-3</v>
      </c>
      <c r="E1264" s="345" t="s">
        <v>1229</v>
      </c>
      <c r="F1264" s="261">
        <f>VLOOKUP($B1264,HSU!$B$6:$D$38,3,FALSE)</f>
        <v>85000</v>
      </c>
      <c r="G1264" s="262">
        <f>F1264*D1264</f>
        <v>425</v>
      </c>
      <c r="H1264" s="263"/>
      <c r="I1264" s="457"/>
    </row>
    <row r="1265" spans="1:9" x14ac:dyDescent="0.25">
      <c r="A1265" s="272"/>
      <c r="B1265" s="388" t="s">
        <v>222</v>
      </c>
      <c r="C1265" s="274"/>
      <c r="D1265" s="424"/>
      <c r="E1265" s="273"/>
      <c r="F1265" s="274"/>
      <c r="G1265" s="275">
        <f>SUM(G1258:G1264)</f>
        <v>108105</v>
      </c>
      <c r="H1265" s="275"/>
      <c r="I1265" s="459">
        <f>G1265+H1265</f>
        <v>108105</v>
      </c>
    </row>
    <row r="1266" spans="1:9" x14ac:dyDescent="0.25">
      <c r="A1266" s="277"/>
      <c r="B1266" s="389" t="s">
        <v>229</v>
      </c>
      <c r="C1266" s="279"/>
      <c r="D1266" s="425"/>
      <c r="E1266" s="278"/>
      <c r="F1266" s="279"/>
      <c r="G1266" s="280"/>
      <c r="H1266" s="281"/>
      <c r="I1266" s="460">
        <f>I1265*0.15</f>
        <v>16215.75</v>
      </c>
    </row>
    <row r="1267" spans="1:9" x14ac:dyDescent="0.25">
      <c r="A1267" s="277"/>
      <c r="B1267" s="389" t="s">
        <v>222</v>
      </c>
      <c r="C1267" s="279"/>
      <c r="D1267" s="426"/>
      <c r="E1267" s="278"/>
      <c r="F1267" s="279"/>
      <c r="G1267" s="262"/>
      <c r="H1267" s="281"/>
      <c r="I1267" s="461">
        <f>I1265+I1266</f>
        <v>124320.75</v>
      </c>
    </row>
    <row r="1268" spans="1:9" x14ac:dyDescent="0.25">
      <c r="A1268" s="282"/>
      <c r="B1268" s="390" t="s">
        <v>230</v>
      </c>
      <c r="C1268" s="284"/>
      <c r="D1268" s="427"/>
      <c r="E1268" s="283"/>
      <c r="F1268" s="284"/>
      <c r="G1268" s="324"/>
      <c r="H1268" s="325"/>
      <c r="I1268" s="462">
        <f>ROUNDUP(I1267,-2)</f>
        <v>124400</v>
      </c>
    </row>
    <row r="1269" spans="1:9" x14ac:dyDescent="0.25">
      <c r="A1269" s="268"/>
      <c r="B1269" s="397"/>
      <c r="C1269" s="328"/>
      <c r="D1269" s="440"/>
      <c r="E1269" s="269"/>
      <c r="F1269" s="328"/>
      <c r="G1269" s="329"/>
      <c r="H1269" s="271"/>
      <c r="I1269" s="474"/>
    </row>
    <row r="1270" spans="1:9" ht="26.25" x14ac:dyDescent="0.25">
      <c r="A1270" s="258">
        <v>31</v>
      </c>
      <c r="B1270" s="385" t="s">
        <v>110</v>
      </c>
      <c r="C1270" s="261"/>
      <c r="D1270" s="422">
        <v>1</v>
      </c>
      <c r="E1270" s="265" t="s">
        <v>16</v>
      </c>
      <c r="F1270" s="261"/>
      <c r="G1270" s="262"/>
      <c r="H1270" s="263"/>
      <c r="I1270" s="457"/>
    </row>
    <row r="1271" spans="1:9" x14ac:dyDescent="0.25">
      <c r="A1271" s="258" t="s">
        <v>231</v>
      </c>
      <c r="B1271" s="408" t="s">
        <v>1306</v>
      </c>
      <c r="C1271" s="261"/>
      <c r="D1271" s="448">
        <v>1.2</v>
      </c>
      <c r="E1271" s="345" t="s">
        <v>16</v>
      </c>
      <c r="F1271" s="261">
        <f>HSM!E101/4</f>
        <v>52875</v>
      </c>
      <c r="G1271" s="263">
        <f>F1271*D1271</f>
        <v>63450</v>
      </c>
      <c r="I1271" s="457"/>
    </row>
    <row r="1272" spans="1:9" x14ac:dyDescent="0.25">
      <c r="A1272" s="258"/>
      <c r="B1272" s="408" t="s">
        <v>1305</v>
      </c>
      <c r="C1272" s="261"/>
      <c r="D1272" s="448">
        <v>3.5000000000000003E-2</v>
      </c>
      <c r="E1272" s="345"/>
      <c r="F1272" s="261">
        <v>1890000</v>
      </c>
      <c r="G1272" s="263">
        <f>F1272*D1272</f>
        <v>66150</v>
      </c>
      <c r="I1272" s="457"/>
    </row>
    <row r="1273" spans="1:9" x14ac:dyDescent="0.25">
      <c r="A1273" s="258"/>
      <c r="B1273" s="408" t="s">
        <v>1295</v>
      </c>
      <c r="C1273" s="261"/>
      <c r="D1273" s="448">
        <v>0.25</v>
      </c>
      <c r="E1273" s="345" t="s">
        <v>1294</v>
      </c>
      <c r="F1273" s="261">
        <v>100000</v>
      </c>
      <c r="G1273" s="263">
        <f>F1273*D1273</f>
        <v>25000</v>
      </c>
      <c r="I1273" s="457"/>
    </row>
    <row r="1274" spans="1:9" x14ac:dyDescent="0.25">
      <c r="A1274" s="258"/>
      <c r="B1274" s="408" t="s">
        <v>217</v>
      </c>
      <c r="C1274" s="261"/>
      <c r="D1274" s="448">
        <v>0.1</v>
      </c>
      <c r="E1274" s="345" t="s">
        <v>1229</v>
      </c>
      <c r="F1274" s="261">
        <f>VLOOKUP($B1274,HSU!$B$6:$D$38,3,FALSE)</f>
        <v>70000</v>
      </c>
      <c r="G1274" s="262">
        <f>F1274*D1274</f>
        <v>7000</v>
      </c>
      <c r="H1274" s="263"/>
      <c r="I1274" s="457"/>
    </row>
    <row r="1275" spans="1:9" x14ac:dyDescent="0.25">
      <c r="A1275" s="258"/>
      <c r="B1275" s="408" t="s">
        <v>1293</v>
      </c>
      <c r="C1275" s="261"/>
      <c r="D1275" s="448">
        <v>0.01</v>
      </c>
      <c r="E1275" s="345" t="s">
        <v>1229</v>
      </c>
      <c r="F1275" s="261">
        <f>VLOOKUP($B1275,HSU!$B$6:$D$38,3,FALSE)</f>
        <v>85000</v>
      </c>
      <c r="G1275" s="262">
        <f>F1275*D1275</f>
        <v>850</v>
      </c>
      <c r="H1275" s="263"/>
      <c r="I1275" s="457"/>
    </row>
    <row r="1276" spans="1:9" x14ac:dyDescent="0.25">
      <c r="A1276" s="258"/>
      <c r="B1276" s="408" t="s">
        <v>1161</v>
      </c>
      <c r="C1276" s="261"/>
      <c r="D1276" s="448">
        <v>0.01</v>
      </c>
      <c r="E1276" s="345" t="s">
        <v>1229</v>
      </c>
      <c r="F1276" s="261">
        <f>VLOOKUP($B1276,HSU!$B$6:$D$38,3,FALSE)</f>
        <v>85000</v>
      </c>
      <c r="G1276" s="262">
        <f>F1276*D1276</f>
        <v>850</v>
      </c>
      <c r="H1276" s="263"/>
      <c r="I1276" s="457"/>
    </row>
    <row r="1277" spans="1:9" x14ac:dyDescent="0.25">
      <c r="A1277" s="258"/>
      <c r="B1277" s="408" t="s">
        <v>220</v>
      </c>
      <c r="C1277" s="261"/>
      <c r="D1277" s="448">
        <v>5.0000000000000001E-3</v>
      </c>
      <c r="E1277" s="345" t="s">
        <v>1229</v>
      </c>
      <c r="F1277" s="261">
        <f>VLOOKUP($B1277,HSU!$B$6:$D$38,3,FALSE)</f>
        <v>85000</v>
      </c>
      <c r="G1277" s="262">
        <f>F1277*D1277</f>
        <v>425</v>
      </c>
      <c r="H1277" s="263"/>
      <c r="I1277" s="457"/>
    </row>
    <row r="1278" spans="1:9" x14ac:dyDescent="0.25">
      <c r="A1278" s="272"/>
      <c r="B1278" s="388" t="s">
        <v>222</v>
      </c>
      <c r="C1278" s="274"/>
      <c r="D1278" s="424"/>
      <c r="E1278" s="273"/>
      <c r="F1278" s="274"/>
      <c r="G1278" s="275">
        <f>SUM(G1271:G1277)</f>
        <v>163725</v>
      </c>
      <c r="H1278" s="275"/>
      <c r="I1278" s="459">
        <f>G1278+H1278</f>
        <v>163725</v>
      </c>
    </row>
    <row r="1279" spans="1:9" x14ac:dyDescent="0.25">
      <c r="A1279" s="277"/>
      <c r="B1279" s="389" t="s">
        <v>229</v>
      </c>
      <c r="C1279" s="279"/>
      <c r="D1279" s="425"/>
      <c r="E1279" s="278"/>
      <c r="F1279" s="279"/>
      <c r="G1279" s="280"/>
      <c r="H1279" s="281"/>
      <c r="I1279" s="460">
        <f>I1278*0.15</f>
        <v>24558.75</v>
      </c>
    </row>
    <row r="1280" spans="1:9" x14ac:dyDescent="0.25">
      <c r="A1280" s="277"/>
      <c r="B1280" s="389" t="s">
        <v>222</v>
      </c>
      <c r="C1280" s="279"/>
      <c r="D1280" s="426"/>
      <c r="E1280" s="278"/>
      <c r="F1280" s="279"/>
      <c r="G1280" s="262"/>
      <c r="H1280" s="281"/>
      <c r="I1280" s="461">
        <f>I1278+I1279</f>
        <v>188283.75</v>
      </c>
    </row>
    <row r="1281" spans="1:9" x14ac:dyDescent="0.25">
      <c r="A1281" s="282"/>
      <c r="B1281" s="390" t="s">
        <v>230</v>
      </c>
      <c r="C1281" s="284"/>
      <c r="D1281" s="427"/>
      <c r="E1281" s="283"/>
      <c r="F1281" s="284"/>
      <c r="G1281" s="324"/>
      <c r="H1281" s="325"/>
      <c r="I1281" s="462">
        <f>ROUNDUP(I1280,-2)</f>
        <v>188300</v>
      </c>
    </row>
    <row r="1282" spans="1:9" x14ac:dyDescent="0.25">
      <c r="A1282" s="268"/>
      <c r="B1282" s="397"/>
      <c r="C1282" s="328"/>
      <c r="D1282" s="440"/>
      <c r="E1282" s="269"/>
      <c r="F1282" s="328"/>
      <c r="G1282" s="329"/>
      <c r="H1282" s="271"/>
      <c r="I1282" s="474"/>
    </row>
    <row r="1283" spans="1:9" x14ac:dyDescent="0.25">
      <c r="A1283" s="258">
        <v>31</v>
      </c>
      <c r="B1283" s="385" t="s">
        <v>111</v>
      </c>
      <c r="C1283" s="261"/>
      <c r="D1283" s="422">
        <v>1</v>
      </c>
      <c r="E1283" s="265" t="s">
        <v>1037</v>
      </c>
      <c r="F1283" s="261"/>
      <c r="G1283" s="262"/>
      <c r="H1283" s="263"/>
      <c r="I1283" s="457"/>
    </row>
    <row r="1284" spans="1:9" x14ac:dyDescent="0.25">
      <c r="A1284" s="258" t="s">
        <v>231</v>
      </c>
      <c r="B1284" s="408" t="s">
        <v>1310</v>
      </c>
      <c r="C1284" s="261"/>
      <c r="D1284" s="448">
        <v>1</v>
      </c>
      <c r="E1284" s="345" t="s">
        <v>25</v>
      </c>
      <c r="F1284" s="261">
        <v>165000</v>
      </c>
      <c r="G1284" s="263">
        <f>F1284*D1284</f>
        <v>165000</v>
      </c>
      <c r="I1284" s="457"/>
    </row>
    <row r="1285" spans="1:9" x14ac:dyDescent="0.25">
      <c r="A1285" s="258"/>
      <c r="B1285" s="408" t="s">
        <v>1070</v>
      </c>
      <c r="C1285" s="261"/>
      <c r="D1285" s="448">
        <v>3.5000000000000003E-2</v>
      </c>
      <c r="E1285" s="345"/>
      <c r="F1285" s="261">
        <v>1890000</v>
      </c>
      <c r="G1285" s="263">
        <f>F1285*D1285</f>
        <v>66150</v>
      </c>
      <c r="I1285" s="457"/>
    </row>
    <row r="1286" spans="1:9" x14ac:dyDescent="0.25">
      <c r="A1286" s="258"/>
      <c r="B1286" s="408" t="s">
        <v>1295</v>
      </c>
      <c r="C1286" s="261"/>
      <c r="D1286" s="448">
        <v>0.25</v>
      </c>
      <c r="E1286" s="345" t="s">
        <v>1294</v>
      </c>
      <c r="F1286" s="261">
        <v>100000</v>
      </c>
      <c r="G1286" s="263">
        <f>F1286*D1286</f>
        <v>25000</v>
      </c>
      <c r="I1286" s="457"/>
    </row>
    <row r="1287" spans="1:9" x14ac:dyDescent="0.25">
      <c r="A1287" s="258"/>
      <c r="B1287" s="408" t="s">
        <v>217</v>
      </c>
      <c r="C1287" s="261"/>
      <c r="D1287" s="448">
        <v>0.1</v>
      </c>
      <c r="E1287" s="345" t="s">
        <v>1229</v>
      </c>
      <c r="F1287" s="261">
        <f>VLOOKUP($B1287,HSU!$B$6:$D$38,3,FALSE)</f>
        <v>70000</v>
      </c>
      <c r="G1287" s="262">
        <f>F1287*D1287</f>
        <v>7000</v>
      </c>
      <c r="H1287" s="263"/>
      <c r="I1287" s="457"/>
    </row>
    <row r="1288" spans="1:9" x14ac:dyDescent="0.25">
      <c r="A1288" s="258"/>
      <c r="B1288" s="408" t="s">
        <v>1293</v>
      </c>
      <c r="C1288" s="261"/>
      <c r="D1288" s="448">
        <v>0.01</v>
      </c>
      <c r="E1288" s="345" t="s">
        <v>1229</v>
      </c>
      <c r="F1288" s="261">
        <f>VLOOKUP($B1288,HSU!$B$6:$D$38,3,FALSE)</f>
        <v>85000</v>
      </c>
      <c r="G1288" s="262">
        <f>F1288*D1288</f>
        <v>850</v>
      </c>
      <c r="H1288" s="263"/>
      <c r="I1288" s="457"/>
    </row>
    <row r="1289" spans="1:9" x14ac:dyDescent="0.25">
      <c r="A1289" s="258"/>
      <c r="B1289" s="408" t="s">
        <v>1161</v>
      </c>
      <c r="C1289" s="261"/>
      <c r="D1289" s="448">
        <v>0.01</v>
      </c>
      <c r="E1289" s="345" t="s">
        <v>1229</v>
      </c>
      <c r="F1289" s="261">
        <f>VLOOKUP($B1289,HSU!$B$6:$D$38,3,FALSE)</f>
        <v>85000</v>
      </c>
      <c r="G1289" s="262">
        <f>F1289*D1289</f>
        <v>850</v>
      </c>
      <c r="H1289" s="263"/>
      <c r="I1289" s="457"/>
    </row>
    <row r="1290" spans="1:9" x14ac:dyDescent="0.25">
      <c r="A1290" s="258"/>
      <c r="B1290" s="408" t="s">
        <v>220</v>
      </c>
      <c r="C1290" s="261"/>
      <c r="D1290" s="448">
        <v>5.0000000000000001E-3</v>
      </c>
      <c r="E1290" s="345" t="s">
        <v>1229</v>
      </c>
      <c r="F1290" s="261">
        <f>VLOOKUP($B1290,HSU!$B$6:$D$38,3,FALSE)</f>
        <v>85000</v>
      </c>
      <c r="G1290" s="262">
        <f>F1290*D1290</f>
        <v>425</v>
      </c>
      <c r="H1290" s="263"/>
      <c r="I1290" s="457"/>
    </row>
    <row r="1291" spans="1:9" x14ac:dyDescent="0.25">
      <c r="A1291" s="272"/>
      <c r="B1291" s="388" t="s">
        <v>222</v>
      </c>
      <c r="C1291" s="274"/>
      <c r="D1291" s="424"/>
      <c r="E1291" s="273"/>
      <c r="F1291" s="274"/>
      <c r="G1291" s="275">
        <f>SUM(G1284:G1290)</f>
        <v>265275</v>
      </c>
      <c r="H1291" s="275"/>
      <c r="I1291" s="459">
        <f>G1291+H1291</f>
        <v>265275</v>
      </c>
    </row>
    <row r="1292" spans="1:9" x14ac:dyDescent="0.25">
      <c r="A1292" s="277"/>
      <c r="B1292" s="389" t="s">
        <v>229</v>
      </c>
      <c r="C1292" s="279"/>
      <c r="D1292" s="425"/>
      <c r="E1292" s="278"/>
      <c r="F1292" s="279"/>
      <c r="G1292" s="280"/>
      <c r="H1292" s="281"/>
      <c r="I1292" s="460">
        <f>I1291*0.15</f>
        <v>39791.25</v>
      </c>
    </row>
    <row r="1293" spans="1:9" x14ac:dyDescent="0.25">
      <c r="A1293" s="277"/>
      <c r="B1293" s="389" t="s">
        <v>222</v>
      </c>
      <c r="C1293" s="279"/>
      <c r="D1293" s="426"/>
      <c r="E1293" s="278"/>
      <c r="F1293" s="279"/>
      <c r="G1293" s="262"/>
      <c r="H1293" s="281"/>
      <c r="I1293" s="461">
        <f>I1291+I1292</f>
        <v>305066.25</v>
      </c>
    </row>
    <row r="1294" spans="1:9" x14ac:dyDescent="0.25">
      <c r="A1294" s="282"/>
      <c r="B1294" s="390" t="s">
        <v>230</v>
      </c>
      <c r="C1294" s="284"/>
      <c r="D1294" s="427"/>
      <c r="E1294" s="283"/>
      <c r="F1294" s="284"/>
      <c r="G1294" s="324"/>
      <c r="H1294" s="325"/>
      <c r="I1294" s="462">
        <f>ROUNDUP(I1293,-2)</f>
        <v>305100</v>
      </c>
    </row>
    <row r="1295" spans="1:9" x14ac:dyDescent="0.25">
      <c r="A1295" s="268"/>
      <c r="B1295" s="397"/>
      <c r="C1295" s="328"/>
      <c r="D1295" s="440"/>
      <c r="E1295" s="269"/>
      <c r="F1295" s="328"/>
      <c r="G1295" s="329"/>
      <c r="H1295" s="271"/>
      <c r="I1295" s="474"/>
    </row>
    <row r="1296" spans="1:9" x14ac:dyDescent="0.25">
      <c r="A1296" s="258">
        <v>31</v>
      </c>
      <c r="B1296" s="385" t="s">
        <v>112</v>
      </c>
      <c r="C1296" s="261"/>
      <c r="D1296" s="422">
        <v>1</v>
      </c>
      <c r="E1296" s="265" t="s">
        <v>1037</v>
      </c>
      <c r="F1296" s="261"/>
      <c r="G1296" s="262"/>
      <c r="H1296" s="263"/>
      <c r="I1296" s="457"/>
    </row>
    <row r="1297" spans="1:9" x14ac:dyDescent="0.25">
      <c r="A1297" s="258" t="s">
        <v>231</v>
      </c>
      <c r="B1297" s="408" t="s">
        <v>1311</v>
      </c>
      <c r="C1297" s="261"/>
      <c r="D1297" s="448">
        <v>1</v>
      </c>
      <c r="E1297" s="345" t="s">
        <v>25</v>
      </c>
      <c r="F1297" s="261">
        <v>70000</v>
      </c>
      <c r="G1297" s="263">
        <f>F1297*D1297</f>
        <v>70000</v>
      </c>
      <c r="I1297" s="457"/>
    </row>
    <row r="1298" spans="1:9" x14ac:dyDescent="0.25">
      <c r="A1298" s="258"/>
      <c r="B1298" s="408" t="s">
        <v>1305</v>
      </c>
      <c r="C1298" s="261"/>
      <c r="D1298" s="448">
        <v>0.06</v>
      </c>
      <c r="E1298" s="345"/>
      <c r="F1298" s="261">
        <v>70000</v>
      </c>
      <c r="G1298" s="263">
        <f>F1298*D1298</f>
        <v>4200</v>
      </c>
      <c r="I1298" s="457"/>
    </row>
    <row r="1299" spans="1:9" x14ac:dyDescent="0.25">
      <c r="A1299" s="258"/>
      <c r="B1299" s="408" t="s">
        <v>1295</v>
      </c>
      <c r="C1299" s="261"/>
      <c r="D1299" s="448">
        <v>0.25</v>
      </c>
      <c r="E1299" s="345" t="s">
        <v>1294</v>
      </c>
      <c r="F1299" s="261">
        <v>100000</v>
      </c>
      <c r="G1299" s="263">
        <f>F1299*D1299</f>
        <v>25000</v>
      </c>
      <c r="I1299" s="457"/>
    </row>
    <row r="1300" spans="1:9" x14ac:dyDescent="0.25">
      <c r="A1300" s="258"/>
      <c r="B1300" s="408" t="s">
        <v>217</v>
      </c>
      <c r="C1300" s="261"/>
      <c r="D1300" s="448">
        <v>0.1</v>
      </c>
      <c r="E1300" s="345" t="s">
        <v>1229</v>
      </c>
      <c r="F1300" s="261">
        <f>VLOOKUP($B1300,HSU!$B$6:$D$38,3,FALSE)</f>
        <v>70000</v>
      </c>
      <c r="G1300" s="262">
        <f>F1300*D1300</f>
        <v>7000</v>
      </c>
      <c r="H1300" s="263"/>
      <c r="I1300" s="457"/>
    </row>
    <row r="1301" spans="1:9" x14ac:dyDescent="0.25">
      <c r="A1301" s="258"/>
      <c r="B1301" s="408" t="s">
        <v>1293</v>
      </c>
      <c r="C1301" s="261"/>
      <c r="D1301" s="448">
        <v>0.01</v>
      </c>
      <c r="E1301" s="345" t="s">
        <v>1229</v>
      </c>
      <c r="F1301" s="261">
        <f>VLOOKUP($B1301,HSU!$B$6:$D$38,3,FALSE)</f>
        <v>85000</v>
      </c>
      <c r="G1301" s="262">
        <f>F1301*D1301</f>
        <v>850</v>
      </c>
      <c r="H1301" s="263"/>
      <c r="I1301" s="457"/>
    </row>
    <row r="1302" spans="1:9" x14ac:dyDescent="0.25">
      <c r="A1302" s="258"/>
      <c r="B1302" s="408" t="s">
        <v>1161</v>
      </c>
      <c r="C1302" s="261"/>
      <c r="D1302" s="448">
        <v>0.01</v>
      </c>
      <c r="E1302" s="345" t="s">
        <v>1229</v>
      </c>
      <c r="F1302" s="261">
        <f>VLOOKUP($B1302,HSU!$B$6:$D$38,3,FALSE)</f>
        <v>85000</v>
      </c>
      <c r="G1302" s="262">
        <f>F1302*D1302</f>
        <v>850</v>
      </c>
      <c r="H1302" s="263"/>
      <c r="I1302" s="457"/>
    </row>
    <row r="1303" spans="1:9" x14ac:dyDescent="0.25">
      <c r="A1303" s="258"/>
      <c r="B1303" s="408" t="s">
        <v>220</v>
      </c>
      <c r="C1303" s="261"/>
      <c r="D1303" s="448">
        <v>5.0000000000000001E-3</v>
      </c>
      <c r="E1303" s="345" t="s">
        <v>1229</v>
      </c>
      <c r="F1303" s="261">
        <f>VLOOKUP($B1303,HSU!$B$6:$D$38,3,FALSE)</f>
        <v>85000</v>
      </c>
      <c r="G1303" s="262">
        <f>F1303*D1303</f>
        <v>425</v>
      </c>
      <c r="H1303" s="263"/>
      <c r="I1303" s="457"/>
    </row>
    <row r="1304" spans="1:9" x14ac:dyDescent="0.25">
      <c r="A1304" s="272"/>
      <c r="B1304" s="388" t="s">
        <v>222</v>
      </c>
      <c r="C1304" s="274"/>
      <c r="D1304" s="424"/>
      <c r="E1304" s="273"/>
      <c r="F1304" s="274"/>
      <c r="G1304" s="275">
        <f>SUM(G1297:G1303)</f>
        <v>108325</v>
      </c>
      <c r="H1304" s="275"/>
      <c r="I1304" s="459">
        <f>G1304+H1304</f>
        <v>108325</v>
      </c>
    </row>
    <row r="1305" spans="1:9" x14ac:dyDescent="0.25">
      <c r="A1305" s="277"/>
      <c r="B1305" s="389" t="s">
        <v>229</v>
      </c>
      <c r="C1305" s="279"/>
      <c r="D1305" s="425"/>
      <c r="E1305" s="278"/>
      <c r="F1305" s="279"/>
      <c r="G1305" s="280"/>
      <c r="H1305" s="281"/>
      <c r="I1305" s="460">
        <f>I1304*0.15</f>
        <v>16248.75</v>
      </c>
    </row>
    <row r="1306" spans="1:9" x14ac:dyDescent="0.25">
      <c r="A1306" s="277"/>
      <c r="B1306" s="389" t="s">
        <v>222</v>
      </c>
      <c r="C1306" s="279"/>
      <c r="D1306" s="426"/>
      <c r="E1306" s="278"/>
      <c r="F1306" s="279"/>
      <c r="G1306" s="262"/>
      <c r="H1306" s="281"/>
      <c r="I1306" s="461">
        <f>I1304+I1305</f>
        <v>124573.75</v>
      </c>
    </row>
    <row r="1307" spans="1:9" x14ac:dyDescent="0.25">
      <c r="A1307" s="282"/>
      <c r="B1307" s="390" t="s">
        <v>230</v>
      </c>
      <c r="C1307" s="284"/>
      <c r="D1307" s="427"/>
      <c r="E1307" s="283"/>
      <c r="F1307" s="284"/>
      <c r="G1307" s="324"/>
      <c r="H1307" s="325"/>
      <c r="I1307" s="462">
        <f>ROUNDUP(I1306,-2)</f>
        <v>124600</v>
      </c>
    </row>
    <row r="1308" spans="1:9" x14ac:dyDescent="0.25">
      <c r="A1308" s="268"/>
      <c r="B1308" s="397"/>
      <c r="C1308" s="328"/>
      <c r="D1308" s="440"/>
      <c r="E1308" s="269"/>
      <c r="F1308" s="328"/>
      <c r="G1308" s="329"/>
      <c r="H1308" s="271"/>
      <c r="I1308" s="474"/>
    </row>
    <row r="1309" spans="1:9" x14ac:dyDescent="0.25">
      <c r="A1309" s="258">
        <v>31</v>
      </c>
      <c r="B1309" s="385" t="s">
        <v>113</v>
      </c>
      <c r="C1309" s="261"/>
      <c r="D1309" s="422">
        <v>1</v>
      </c>
      <c r="E1309" s="265" t="s">
        <v>1037</v>
      </c>
      <c r="F1309" s="261"/>
      <c r="G1309" s="262"/>
      <c r="H1309" s="263"/>
      <c r="I1309" s="457"/>
    </row>
    <row r="1310" spans="1:9" x14ac:dyDescent="0.25">
      <c r="A1310" s="258" t="s">
        <v>231</v>
      </c>
      <c r="B1310" s="408" t="s">
        <v>1312</v>
      </c>
      <c r="C1310" s="261"/>
      <c r="D1310" s="448">
        <v>206.61157024793386</v>
      </c>
      <c r="E1310" s="345" t="s">
        <v>25</v>
      </c>
      <c r="F1310" s="261">
        <f>HSM!E31</f>
        <v>850</v>
      </c>
      <c r="G1310" s="263">
        <f>F1310*D1310</f>
        <v>175619.83471074377</v>
      </c>
      <c r="I1310" s="457"/>
    </row>
    <row r="1311" spans="1:9" x14ac:dyDescent="0.25">
      <c r="A1311" s="258"/>
      <c r="B1311" s="408" t="s">
        <v>1209</v>
      </c>
      <c r="C1311" s="261"/>
      <c r="D1311" s="448">
        <v>77</v>
      </c>
      <c r="E1311" s="345" t="s">
        <v>38</v>
      </c>
      <c r="F1311" s="261">
        <f>HSM!E484/40</f>
        <v>1350</v>
      </c>
      <c r="G1311" s="263">
        <f>F1311*D1311</f>
        <v>103950</v>
      </c>
      <c r="I1311" s="457"/>
    </row>
    <row r="1312" spans="1:9" x14ac:dyDescent="0.25">
      <c r="A1312" s="258"/>
      <c r="B1312" s="408" t="s">
        <v>1313</v>
      </c>
      <c r="C1312" s="261"/>
      <c r="D1312" s="448">
        <v>0.13</v>
      </c>
      <c r="E1312" s="345" t="s">
        <v>20</v>
      </c>
      <c r="F1312" s="261">
        <f>HSM!E30</f>
        <v>274000</v>
      </c>
      <c r="G1312" s="263">
        <f>F1312*D1312</f>
        <v>35620</v>
      </c>
      <c r="I1312" s="457"/>
    </row>
    <row r="1313" spans="1:9" x14ac:dyDescent="0.25">
      <c r="A1313" s="258"/>
      <c r="B1313" s="408" t="s">
        <v>1314</v>
      </c>
      <c r="C1313" s="261"/>
      <c r="D1313" s="448">
        <v>0.02</v>
      </c>
      <c r="E1313" s="345" t="s">
        <v>20</v>
      </c>
      <c r="F1313" s="261">
        <f>HSM!E40</f>
        <v>157500</v>
      </c>
      <c r="G1313" s="263">
        <f>F1313*D1313</f>
        <v>3150</v>
      </c>
      <c r="I1313" s="457"/>
    </row>
    <row r="1314" spans="1:9" x14ac:dyDescent="0.25">
      <c r="A1314" s="258"/>
      <c r="B1314" s="408" t="s">
        <v>1315</v>
      </c>
      <c r="C1314" s="261"/>
      <c r="D1314" s="448">
        <v>2.6</v>
      </c>
      <c r="E1314" s="345" t="s">
        <v>38</v>
      </c>
      <c r="F1314" s="261">
        <f>HSM!E155</f>
        <v>8109.9000000000005</v>
      </c>
      <c r="G1314" s="263">
        <f>F1314*D1314</f>
        <v>21085.74</v>
      </c>
      <c r="I1314" s="457"/>
    </row>
    <row r="1315" spans="1:9" x14ac:dyDescent="0.25">
      <c r="A1315" s="258"/>
      <c r="B1315" s="408" t="s">
        <v>1316</v>
      </c>
      <c r="C1315" s="261"/>
      <c r="D1315" s="448">
        <v>0.09</v>
      </c>
      <c r="E1315" s="345" t="s">
        <v>20</v>
      </c>
      <c r="F1315" s="261">
        <f>HSM!E13</f>
        <v>274000</v>
      </c>
      <c r="G1315" s="263">
        <f>F1315*D1315</f>
        <v>24660</v>
      </c>
      <c r="I1315" s="457"/>
    </row>
    <row r="1316" spans="1:9" x14ac:dyDescent="0.25">
      <c r="A1316" s="258"/>
      <c r="B1316" s="408" t="s">
        <v>217</v>
      </c>
      <c r="C1316" s="261"/>
      <c r="D1316" s="448">
        <v>1.472</v>
      </c>
      <c r="E1316" s="345" t="s">
        <v>1229</v>
      </c>
      <c r="F1316" s="261">
        <f>VLOOKUP($B1316,HSU!$B$6:$D$38,3,FALSE)</f>
        <v>70000</v>
      </c>
      <c r="G1316" s="262">
        <f>F1316*D1316</f>
        <v>103040</v>
      </c>
      <c r="H1316" s="263"/>
      <c r="I1316" s="457"/>
    </row>
    <row r="1317" spans="1:9" x14ac:dyDescent="0.25">
      <c r="A1317" s="258"/>
      <c r="B1317" s="408" t="s">
        <v>1153</v>
      </c>
      <c r="C1317" s="261"/>
      <c r="D1317" s="448">
        <v>0.47299999999999998</v>
      </c>
      <c r="E1317" s="345" t="s">
        <v>1229</v>
      </c>
      <c r="F1317" s="261">
        <f>VLOOKUP($B1317,HSU!$B$6:$D$38,3,FALSE)</f>
        <v>80000</v>
      </c>
      <c r="G1317" s="262">
        <f>F1317*D1317</f>
        <v>37840</v>
      </c>
      <c r="H1317" s="263"/>
      <c r="I1317" s="457"/>
    </row>
    <row r="1318" spans="1:9" x14ac:dyDescent="0.25">
      <c r="A1318" s="258"/>
      <c r="B1318" s="408" t="s">
        <v>1161</v>
      </c>
      <c r="C1318" s="261"/>
      <c r="D1318" s="448">
        <v>4.7E-2</v>
      </c>
      <c r="E1318" s="345" t="s">
        <v>1229</v>
      </c>
      <c r="F1318" s="261">
        <f>VLOOKUP($B1318,HSU!$B$6:$D$38,3,FALSE)</f>
        <v>85000</v>
      </c>
      <c r="G1318" s="262">
        <f>F1318*D1318</f>
        <v>3995</v>
      </c>
      <c r="H1318" s="263"/>
      <c r="I1318" s="457"/>
    </row>
    <row r="1319" spans="1:9" x14ac:dyDescent="0.25">
      <c r="A1319" s="258"/>
      <c r="B1319" s="408" t="s">
        <v>220</v>
      </c>
      <c r="C1319" s="261"/>
      <c r="D1319" s="448">
        <v>7.0999999999999994E-2</v>
      </c>
      <c r="E1319" s="345" t="s">
        <v>1229</v>
      </c>
      <c r="F1319" s="261">
        <f>VLOOKUP($B1319,HSU!$B$6:$D$38,3,FALSE)</f>
        <v>85000</v>
      </c>
      <c r="G1319" s="262">
        <f>F1319*D1319</f>
        <v>6034.9999999999991</v>
      </c>
      <c r="H1319" s="263"/>
      <c r="I1319" s="457"/>
    </row>
    <row r="1320" spans="1:9" x14ac:dyDescent="0.25">
      <c r="A1320" s="272"/>
      <c r="B1320" s="388" t="s">
        <v>222</v>
      </c>
      <c r="C1320" s="274"/>
      <c r="D1320" s="424"/>
      <c r="E1320" s="273"/>
      <c r="F1320" s="274"/>
      <c r="G1320" s="275">
        <f>SUM(G1310:G1319)</f>
        <v>514995.57471074373</v>
      </c>
      <c r="H1320" s="275"/>
      <c r="I1320" s="459">
        <f>G1320+H1320</f>
        <v>514995.57471074373</v>
      </c>
    </row>
    <row r="1321" spans="1:9" x14ac:dyDescent="0.25">
      <c r="A1321" s="277"/>
      <c r="B1321" s="389" t="s">
        <v>229</v>
      </c>
      <c r="C1321" s="279"/>
      <c r="D1321" s="425"/>
      <c r="E1321" s="278"/>
      <c r="F1321" s="279"/>
      <c r="G1321" s="280"/>
      <c r="H1321" s="281"/>
      <c r="I1321" s="460">
        <f>I1320*0.15</f>
        <v>77249.336206611551</v>
      </c>
    </row>
    <row r="1322" spans="1:9" x14ac:dyDescent="0.25">
      <c r="A1322" s="277"/>
      <c r="B1322" s="389" t="s">
        <v>222</v>
      </c>
      <c r="C1322" s="279"/>
      <c r="D1322" s="426"/>
      <c r="E1322" s="278"/>
      <c r="F1322" s="279"/>
      <c r="G1322" s="262"/>
      <c r="H1322" s="281"/>
      <c r="I1322" s="461">
        <f>I1320+I1321</f>
        <v>592244.91091735533</v>
      </c>
    </row>
    <row r="1323" spans="1:9" x14ac:dyDescent="0.25">
      <c r="A1323" s="282"/>
      <c r="B1323" s="390" t="s">
        <v>230</v>
      </c>
      <c r="C1323" s="284"/>
      <c r="D1323" s="427"/>
      <c r="E1323" s="283"/>
      <c r="F1323" s="284"/>
      <c r="G1323" s="324"/>
      <c r="H1323" s="325"/>
      <c r="I1323" s="462">
        <f>ROUNDUP(I1322,-2)</f>
        <v>592300</v>
      </c>
    </row>
    <row r="1324" spans="1:9" x14ac:dyDescent="0.25">
      <c r="A1324" s="268"/>
      <c r="B1324" s="397"/>
      <c r="C1324" s="328"/>
      <c r="D1324" s="440"/>
      <c r="E1324" s="269"/>
      <c r="F1324" s="328"/>
      <c r="G1324" s="329"/>
      <c r="H1324" s="271"/>
      <c r="I1324" s="474"/>
    </row>
    <row r="1325" spans="1:9" x14ac:dyDescent="0.25">
      <c r="A1325" s="258">
        <v>31</v>
      </c>
      <c r="B1325" s="385" t="s">
        <v>1317</v>
      </c>
      <c r="C1325" s="261"/>
      <c r="D1325" s="422">
        <v>1</v>
      </c>
      <c r="E1325" s="265" t="s">
        <v>1037</v>
      </c>
      <c r="F1325" s="261"/>
      <c r="G1325" s="262"/>
      <c r="H1325" s="263"/>
      <c r="I1325" s="457"/>
    </row>
    <row r="1326" spans="1:9" x14ac:dyDescent="0.25">
      <c r="A1326" s="258" t="s">
        <v>231</v>
      </c>
      <c r="B1326" s="408" t="s">
        <v>1318</v>
      </c>
      <c r="C1326" s="261"/>
      <c r="D1326" s="448">
        <v>1</v>
      </c>
      <c r="E1326" s="345" t="s">
        <v>25</v>
      </c>
      <c r="F1326" s="261">
        <v>5000000</v>
      </c>
      <c r="G1326" s="263">
        <f>F1326*D1326</f>
        <v>5000000</v>
      </c>
      <c r="I1326" s="457"/>
    </row>
    <row r="1327" spans="1:9" x14ac:dyDescent="0.25">
      <c r="A1327" s="258"/>
      <c r="B1327" s="408" t="s">
        <v>1153</v>
      </c>
      <c r="C1327" s="261"/>
      <c r="D1327" s="448">
        <v>1</v>
      </c>
      <c r="E1327" s="345" t="s">
        <v>1229</v>
      </c>
      <c r="F1327" s="261">
        <f>VLOOKUP($B1327,HSU!$B$6:$D$38,3,FALSE)</f>
        <v>80000</v>
      </c>
      <c r="G1327" s="262">
        <f>F1327*D1327</f>
        <v>80000</v>
      </c>
      <c r="H1327" s="263"/>
      <c r="I1327" s="457"/>
    </row>
    <row r="1328" spans="1:9" x14ac:dyDescent="0.25">
      <c r="A1328" s="272"/>
      <c r="B1328" s="388" t="s">
        <v>222</v>
      </c>
      <c r="C1328" s="274"/>
      <c r="D1328" s="424"/>
      <c r="E1328" s="273"/>
      <c r="F1328" s="274"/>
      <c r="G1328" s="275">
        <f>SUM(G1326:G1327)</f>
        <v>5080000</v>
      </c>
      <c r="H1328" s="275"/>
      <c r="I1328" s="459">
        <f>G1328+H1328</f>
        <v>5080000</v>
      </c>
    </row>
    <row r="1329" spans="1:9" x14ac:dyDescent="0.25">
      <c r="A1329" s="277"/>
      <c r="B1329" s="389" t="s">
        <v>229</v>
      </c>
      <c r="C1329" s="279"/>
      <c r="D1329" s="425"/>
      <c r="E1329" s="278"/>
      <c r="F1329" s="279"/>
      <c r="G1329" s="280"/>
      <c r="H1329" s="281"/>
      <c r="I1329" s="460">
        <f>I1328*0.15</f>
        <v>762000</v>
      </c>
    </row>
    <row r="1330" spans="1:9" x14ac:dyDescent="0.25">
      <c r="A1330" s="277"/>
      <c r="B1330" s="389" t="s">
        <v>222</v>
      </c>
      <c r="C1330" s="279"/>
      <c r="D1330" s="426"/>
      <c r="E1330" s="278"/>
      <c r="F1330" s="279"/>
      <c r="G1330" s="262"/>
      <c r="H1330" s="281"/>
      <c r="I1330" s="461">
        <f>I1328+I1329</f>
        <v>5842000</v>
      </c>
    </row>
    <row r="1331" spans="1:9" x14ac:dyDescent="0.25">
      <c r="A1331" s="282"/>
      <c r="B1331" s="390" t="s">
        <v>230</v>
      </c>
      <c r="C1331" s="284"/>
      <c r="D1331" s="427"/>
      <c r="E1331" s="283"/>
      <c r="F1331" s="284"/>
      <c r="G1331" s="324"/>
      <c r="H1331" s="325"/>
      <c r="I1331" s="462">
        <f>ROUNDUP(I1330,-2)</f>
        <v>5842000</v>
      </c>
    </row>
    <row r="1332" spans="1:9" ht="15.75" thickBot="1" x14ac:dyDescent="0.3">
      <c r="I1332" s="463"/>
    </row>
    <row r="1333" spans="1:9" ht="16.5" thickTop="1" thickBot="1" x14ac:dyDescent="0.3">
      <c r="A1333" s="253" t="s">
        <v>3</v>
      </c>
      <c r="B1333" s="381" t="s">
        <v>1375</v>
      </c>
      <c r="C1333" s="376" t="s">
        <v>1370</v>
      </c>
      <c r="D1333" s="418" t="s">
        <v>1371</v>
      </c>
      <c r="E1333" s="376" t="s">
        <v>1372</v>
      </c>
      <c r="F1333" s="376" t="s">
        <v>1374</v>
      </c>
      <c r="G1333" s="254" t="s">
        <v>1373</v>
      </c>
      <c r="H1333" s="255"/>
      <c r="I1333" s="455" t="s">
        <v>222</v>
      </c>
    </row>
    <row r="1334" spans="1:9" ht="16.5" thickTop="1" thickBot="1" x14ac:dyDescent="0.3">
      <c r="A1334" s="256" t="s">
        <v>223</v>
      </c>
      <c r="B1334" s="382" t="s">
        <v>224</v>
      </c>
      <c r="C1334" s="340" t="s">
        <v>225</v>
      </c>
      <c r="D1334" s="419" t="s">
        <v>226</v>
      </c>
      <c r="E1334" s="340" t="s">
        <v>1376</v>
      </c>
      <c r="F1334" s="257" t="s">
        <v>1377</v>
      </c>
      <c r="G1334" s="340" t="s">
        <v>1378</v>
      </c>
      <c r="H1334" s="257" t="s">
        <v>1377</v>
      </c>
      <c r="I1334" s="456" t="s">
        <v>1379</v>
      </c>
    </row>
    <row r="1335" spans="1:9" ht="15.75" thickTop="1" x14ac:dyDescent="0.25">
      <c r="A1335" s="297"/>
      <c r="B1335" s="393"/>
      <c r="C1335" s="343"/>
      <c r="D1335" s="447"/>
      <c r="E1335" s="342"/>
      <c r="F1335" s="343"/>
      <c r="G1335" s="300"/>
      <c r="H1335" s="344"/>
      <c r="I1335" s="466"/>
    </row>
    <row r="1336" spans="1:9" x14ac:dyDescent="0.25">
      <c r="A1336" s="258"/>
      <c r="B1336" s="383" t="s">
        <v>1336</v>
      </c>
      <c r="C1336" s="261"/>
      <c r="D1336" s="439"/>
      <c r="E1336" s="259"/>
      <c r="F1336" s="261"/>
      <c r="G1336" s="262"/>
      <c r="H1336" s="263"/>
      <c r="I1336" s="457"/>
    </row>
    <row r="1337" spans="1:9" x14ac:dyDescent="0.25">
      <c r="A1337" s="268"/>
      <c r="B1337" s="397"/>
      <c r="C1337" s="328"/>
      <c r="D1337" s="440"/>
      <c r="E1337" s="269"/>
      <c r="F1337" s="328"/>
      <c r="G1337" s="329"/>
      <c r="H1337" s="271"/>
      <c r="I1337" s="474"/>
    </row>
    <row r="1338" spans="1:9" x14ac:dyDescent="0.25">
      <c r="A1338" s="258">
        <v>31</v>
      </c>
      <c r="B1338" s="385" t="s">
        <v>1319</v>
      </c>
      <c r="C1338" s="261"/>
      <c r="D1338" s="422">
        <v>1</v>
      </c>
      <c r="E1338" s="265" t="s">
        <v>14</v>
      </c>
      <c r="F1338" s="261"/>
      <c r="G1338" s="262"/>
      <c r="H1338" s="263"/>
      <c r="I1338" s="457"/>
    </row>
    <row r="1339" spans="1:9" x14ac:dyDescent="0.25">
      <c r="A1339" s="258" t="s">
        <v>231</v>
      </c>
      <c r="B1339" s="408" t="s">
        <v>1055</v>
      </c>
      <c r="C1339" s="261"/>
      <c r="D1339" s="448">
        <v>1.1000000000000001</v>
      </c>
      <c r="E1339" s="345" t="s">
        <v>14</v>
      </c>
      <c r="F1339" s="261">
        <v>35000</v>
      </c>
      <c r="G1339" s="263">
        <f>F1339*D1339</f>
        <v>38500</v>
      </c>
      <c r="I1339" s="457"/>
    </row>
    <row r="1340" spans="1:9" x14ac:dyDescent="0.25">
      <c r="A1340" s="258"/>
      <c r="B1340" s="408" t="s">
        <v>217</v>
      </c>
      <c r="C1340" s="261"/>
      <c r="D1340" s="448">
        <v>0.1</v>
      </c>
      <c r="E1340" s="345" t="s">
        <v>1229</v>
      </c>
      <c r="F1340" s="261">
        <f>VLOOKUP($B1340,HSU!$B$6:$D$38,3,FALSE)</f>
        <v>70000</v>
      </c>
      <c r="G1340" s="262">
        <f>F1340*D1340</f>
        <v>7000</v>
      </c>
      <c r="H1340" s="263"/>
      <c r="I1340" s="457"/>
    </row>
    <row r="1341" spans="1:9" x14ac:dyDescent="0.25">
      <c r="A1341" s="258"/>
      <c r="B1341" s="408" t="s">
        <v>220</v>
      </c>
      <c r="C1341" s="261"/>
      <c r="D1341" s="448">
        <v>0.01</v>
      </c>
      <c r="E1341" s="345" t="s">
        <v>1229</v>
      </c>
      <c r="F1341" s="261">
        <f>VLOOKUP($B1341,HSU!$B$6:$D$38,3,FALSE)</f>
        <v>85000</v>
      </c>
      <c r="G1341" s="262">
        <f>F1341*D1341</f>
        <v>850</v>
      </c>
      <c r="H1341" s="263"/>
      <c r="I1341" s="457"/>
    </row>
    <row r="1342" spans="1:9" x14ac:dyDescent="0.25">
      <c r="A1342" s="272"/>
      <c r="B1342" s="388" t="s">
        <v>222</v>
      </c>
      <c r="C1342" s="274"/>
      <c r="D1342" s="424"/>
      <c r="E1342" s="273"/>
      <c r="F1342" s="274"/>
      <c r="G1342" s="275">
        <f>SUM(G1339:G1341)</f>
        <v>46350</v>
      </c>
      <c r="H1342" s="275"/>
      <c r="I1342" s="459">
        <f>G1342+H1342</f>
        <v>46350</v>
      </c>
    </row>
    <row r="1343" spans="1:9" x14ac:dyDescent="0.25">
      <c r="A1343" s="277"/>
      <c r="B1343" s="389" t="s">
        <v>229</v>
      </c>
      <c r="C1343" s="279"/>
      <c r="D1343" s="425"/>
      <c r="E1343" s="278"/>
      <c r="F1343" s="279"/>
      <c r="G1343" s="280"/>
      <c r="H1343" s="281"/>
      <c r="I1343" s="460">
        <f>I1342*0.15</f>
        <v>6952.5</v>
      </c>
    </row>
    <row r="1344" spans="1:9" x14ac:dyDescent="0.25">
      <c r="A1344" s="277"/>
      <c r="B1344" s="389" t="s">
        <v>222</v>
      </c>
      <c r="C1344" s="279"/>
      <c r="D1344" s="426"/>
      <c r="E1344" s="278"/>
      <c r="F1344" s="279"/>
      <c r="G1344" s="262"/>
      <c r="H1344" s="281"/>
      <c r="I1344" s="461">
        <f>I1342+I1343</f>
        <v>53302.5</v>
      </c>
    </row>
    <row r="1345" spans="1:9" x14ac:dyDescent="0.25">
      <c r="A1345" s="282"/>
      <c r="B1345" s="390" t="s">
        <v>230</v>
      </c>
      <c r="C1345" s="284"/>
      <c r="D1345" s="427"/>
      <c r="E1345" s="283"/>
      <c r="F1345" s="284"/>
      <c r="G1345" s="324"/>
      <c r="H1345" s="325"/>
      <c r="I1345" s="462">
        <f>ROUNDUP(I1344,-2)</f>
        <v>53400</v>
      </c>
    </row>
    <row r="1346" spans="1:9" x14ac:dyDescent="0.25">
      <c r="A1346" s="268"/>
      <c r="B1346" s="397"/>
      <c r="C1346" s="328"/>
      <c r="D1346" s="440"/>
      <c r="E1346" s="269"/>
      <c r="F1346" s="328"/>
      <c r="G1346" s="329"/>
      <c r="H1346" s="271"/>
      <c r="I1346" s="474"/>
    </row>
    <row r="1347" spans="1:9" x14ac:dyDescent="0.25">
      <c r="A1347" s="258">
        <v>31</v>
      </c>
      <c r="B1347" s="385" t="s">
        <v>1321</v>
      </c>
      <c r="C1347" s="261"/>
      <c r="D1347" s="422">
        <v>1</v>
      </c>
      <c r="E1347" s="265" t="s">
        <v>14</v>
      </c>
      <c r="F1347" s="261"/>
      <c r="G1347" s="262"/>
      <c r="H1347" s="263"/>
      <c r="I1347" s="457"/>
    </row>
    <row r="1348" spans="1:9" x14ac:dyDescent="0.25">
      <c r="A1348" s="258" t="s">
        <v>231</v>
      </c>
      <c r="B1348" s="408" t="s">
        <v>1320</v>
      </c>
      <c r="C1348" s="261"/>
      <c r="D1348" s="448">
        <v>1</v>
      </c>
      <c r="E1348" s="345" t="s">
        <v>14</v>
      </c>
      <c r="F1348" s="261">
        <v>500000</v>
      </c>
      <c r="G1348" s="263">
        <f>F1348*D1348</f>
        <v>500000</v>
      </c>
      <c r="I1348" s="457"/>
    </row>
    <row r="1349" spans="1:9" x14ac:dyDescent="0.25">
      <c r="A1349" s="258"/>
      <c r="B1349" s="408" t="s">
        <v>217</v>
      </c>
      <c r="C1349" s="261"/>
      <c r="D1349" s="448">
        <v>0.1</v>
      </c>
      <c r="E1349" s="345" t="s">
        <v>1229</v>
      </c>
      <c r="F1349" s="261">
        <f>VLOOKUP($B1349,HSU!$B$6:$D$38,3,FALSE)</f>
        <v>70000</v>
      </c>
      <c r="G1349" s="262">
        <f>F1349*D1349</f>
        <v>7000</v>
      </c>
      <c r="H1349" s="263"/>
      <c r="I1349" s="457"/>
    </row>
    <row r="1350" spans="1:9" x14ac:dyDescent="0.25">
      <c r="A1350" s="258"/>
      <c r="B1350" s="408" t="s">
        <v>220</v>
      </c>
      <c r="C1350" s="261"/>
      <c r="D1350" s="448">
        <v>0.01</v>
      </c>
      <c r="E1350" s="345" t="s">
        <v>1229</v>
      </c>
      <c r="F1350" s="261">
        <f>VLOOKUP($B1350,HSU!$B$6:$D$38,3,FALSE)</f>
        <v>85000</v>
      </c>
      <c r="G1350" s="262">
        <f>F1350*D1350</f>
        <v>850</v>
      </c>
      <c r="H1350" s="263"/>
      <c r="I1350" s="457"/>
    </row>
    <row r="1351" spans="1:9" x14ac:dyDescent="0.25">
      <c r="A1351" s="272"/>
      <c r="B1351" s="388" t="s">
        <v>222</v>
      </c>
      <c r="C1351" s="274"/>
      <c r="D1351" s="424"/>
      <c r="E1351" s="273"/>
      <c r="F1351" s="274"/>
      <c r="G1351" s="275">
        <f>SUM(G1348:G1350)</f>
        <v>507850</v>
      </c>
      <c r="H1351" s="275"/>
      <c r="I1351" s="459">
        <f>G1351+H1351</f>
        <v>507850</v>
      </c>
    </row>
    <row r="1352" spans="1:9" x14ac:dyDescent="0.25">
      <c r="A1352" s="277"/>
      <c r="B1352" s="389" t="s">
        <v>229</v>
      </c>
      <c r="C1352" s="279"/>
      <c r="D1352" s="425"/>
      <c r="E1352" s="278"/>
      <c r="F1352" s="279"/>
      <c r="G1352" s="280"/>
      <c r="H1352" s="281"/>
      <c r="I1352" s="460">
        <f>I1351*0.15</f>
        <v>76177.5</v>
      </c>
    </row>
    <row r="1353" spans="1:9" x14ac:dyDescent="0.25">
      <c r="A1353" s="277"/>
      <c r="B1353" s="389" t="s">
        <v>222</v>
      </c>
      <c r="C1353" s="279"/>
      <c r="D1353" s="426"/>
      <c r="E1353" s="278"/>
      <c r="F1353" s="279"/>
      <c r="G1353" s="262"/>
      <c r="H1353" s="281"/>
      <c r="I1353" s="461">
        <f>I1351+I1352</f>
        <v>584027.5</v>
      </c>
    </row>
    <row r="1354" spans="1:9" x14ac:dyDescent="0.25">
      <c r="A1354" s="282"/>
      <c r="B1354" s="390" t="s">
        <v>230</v>
      </c>
      <c r="C1354" s="284"/>
      <c r="D1354" s="427"/>
      <c r="E1354" s="283"/>
      <c r="F1354" s="284"/>
      <c r="G1354" s="324"/>
      <c r="H1354" s="325"/>
      <c r="I1354" s="462">
        <f>ROUNDUP(I1353,-2)</f>
        <v>584100</v>
      </c>
    </row>
    <row r="1355" spans="1:9" x14ac:dyDescent="0.25">
      <c r="A1355" s="268"/>
      <c r="B1355" s="397"/>
      <c r="C1355" s="328"/>
      <c r="D1355" s="440"/>
      <c r="E1355" s="269"/>
      <c r="F1355" s="328"/>
      <c r="G1355" s="329"/>
      <c r="H1355" s="271"/>
      <c r="I1355" s="474"/>
    </row>
    <row r="1356" spans="1:9" ht="26.25" x14ac:dyDescent="0.25">
      <c r="A1356" s="258">
        <v>31</v>
      </c>
      <c r="B1356" s="385" t="s">
        <v>1322</v>
      </c>
      <c r="C1356" s="261"/>
      <c r="D1356" s="422">
        <v>1</v>
      </c>
      <c r="E1356" s="265" t="s">
        <v>14</v>
      </c>
      <c r="F1356" s="261"/>
      <c r="G1356" s="262"/>
      <c r="H1356" s="263"/>
      <c r="I1356" s="457"/>
    </row>
    <row r="1357" spans="1:9" x14ac:dyDescent="0.25">
      <c r="A1357" s="258" t="s">
        <v>231</v>
      </c>
      <c r="B1357" s="408" t="s">
        <v>1323</v>
      </c>
      <c r="C1357" s="261"/>
      <c r="D1357" s="448">
        <v>0.98599999999999999</v>
      </c>
      <c r="E1357" s="345" t="s">
        <v>1327</v>
      </c>
      <c r="F1357" s="261">
        <f>619000/6</f>
        <v>103166.66666666667</v>
      </c>
      <c r="G1357" s="263">
        <f>F1357*D1357</f>
        <v>101722.33333333334</v>
      </c>
      <c r="I1357" s="457"/>
    </row>
    <row r="1358" spans="1:9" x14ac:dyDescent="0.25">
      <c r="A1358" s="258"/>
      <c r="B1358" s="408" t="s">
        <v>1324</v>
      </c>
      <c r="C1358" s="261"/>
      <c r="D1358" s="448">
        <v>0.52500000000000002</v>
      </c>
      <c r="E1358" s="345" t="s">
        <v>1328</v>
      </c>
      <c r="F1358" s="261">
        <v>277000</v>
      </c>
      <c r="G1358" s="263">
        <f>F1358*D1358</f>
        <v>145425</v>
      </c>
      <c r="I1358" s="457"/>
    </row>
    <row r="1359" spans="1:9" x14ac:dyDescent="0.25">
      <c r="A1359" s="258"/>
      <c r="B1359" s="408" t="s">
        <v>1325</v>
      </c>
      <c r="C1359" s="261"/>
      <c r="D1359" s="448">
        <v>45</v>
      </c>
      <c r="E1359" s="345" t="s">
        <v>233</v>
      </c>
      <c r="F1359" s="261">
        <v>1350</v>
      </c>
      <c r="G1359" s="263">
        <f>F1359*D1359</f>
        <v>60750</v>
      </c>
      <c r="I1359" s="457"/>
    </row>
    <row r="1360" spans="1:9" x14ac:dyDescent="0.25">
      <c r="A1360" s="258"/>
      <c r="B1360" s="408" t="s">
        <v>1316</v>
      </c>
      <c r="C1360" s="261"/>
      <c r="D1360" s="448">
        <v>7.3999999999999996E-2</v>
      </c>
      <c r="E1360" s="345" t="s">
        <v>20</v>
      </c>
      <c r="F1360" s="261">
        <v>274000</v>
      </c>
      <c r="G1360" s="263">
        <f>F1360*D1360</f>
        <v>20276</v>
      </c>
      <c r="I1360" s="457"/>
    </row>
    <row r="1361" spans="1:9" x14ac:dyDescent="0.25">
      <c r="A1361" s="258"/>
      <c r="B1361" s="408" t="s">
        <v>1326</v>
      </c>
      <c r="C1361" s="261"/>
      <c r="D1361" s="448">
        <v>0.14599999999999999</v>
      </c>
      <c r="E1361" s="345" t="s">
        <v>20</v>
      </c>
      <c r="F1361" s="261">
        <v>173000</v>
      </c>
      <c r="G1361" s="263">
        <f>F1361*D1361</f>
        <v>25258</v>
      </c>
      <c r="I1361" s="457"/>
    </row>
    <row r="1362" spans="1:9" x14ac:dyDescent="0.25">
      <c r="A1362" s="258"/>
      <c r="B1362" s="408" t="s">
        <v>217</v>
      </c>
      <c r="C1362" s="261"/>
      <c r="D1362" s="448">
        <v>0.375</v>
      </c>
      <c r="E1362" s="345" t="s">
        <v>1229</v>
      </c>
      <c r="F1362" s="261">
        <f>VLOOKUP($B1362,HSU!$B$6:$D$38,3,FALSE)</f>
        <v>70000</v>
      </c>
      <c r="G1362" s="262">
        <f>F1362*D1362</f>
        <v>26250</v>
      </c>
      <c r="H1362" s="263"/>
      <c r="I1362" s="457"/>
    </row>
    <row r="1363" spans="1:9" x14ac:dyDescent="0.25">
      <c r="A1363" s="258"/>
      <c r="B1363" s="408" t="s">
        <v>1153</v>
      </c>
      <c r="C1363" s="261"/>
      <c r="D1363" s="448">
        <v>0.125</v>
      </c>
      <c r="E1363" s="345" t="s">
        <v>1229</v>
      </c>
      <c r="F1363" s="261">
        <f>VLOOKUP($B1363,HSU!$B$6:$D$38,3,FALSE)</f>
        <v>80000</v>
      </c>
      <c r="G1363" s="262">
        <f>F1363*D1363</f>
        <v>10000</v>
      </c>
      <c r="H1363" s="263"/>
      <c r="I1363" s="457"/>
    </row>
    <row r="1364" spans="1:9" x14ac:dyDescent="0.25">
      <c r="A1364" s="258"/>
      <c r="B1364" s="408" t="s">
        <v>1174</v>
      </c>
      <c r="C1364" s="261"/>
      <c r="D1364" s="448">
        <v>1.2E-2</v>
      </c>
      <c r="E1364" s="345" t="s">
        <v>1229</v>
      </c>
      <c r="F1364" s="261">
        <f>VLOOKUP($B1364,HSU!$B$6:$D$38,3,FALSE)</f>
        <v>85000</v>
      </c>
      <c r="G1364" s="262">
        <f>F1364*D1364</f>
        <v>1020</v>
      </c>
      <c r="H1364" s="263"/>
      <c r="I1364" s="457"/>
    </row>
    <row r="1365" spans="1:9" x14ac:dyDescent="0.25">
      <c r="A1365" s="258"/>
      <c r="B1365" s="408" t="s">
        <v>220</v>
      </c>
      <c r="C1365" s="261"/>
      <c r="D1365" s="448">
        <v>1.9E-2</v>
      </c>
      <c r="E1365" s="345" t="s">
        <v>1229</v>
      </c>
      <c r="F1365" s="261">
        <f>VLOOKUP($B1365,HSU!$B$6:$D$38,3,FALSE)</f>
        <v>85000</v>
      </c>
      <c r="G1365" s="262">
        <f>F1365*D1365</f>
        <v>1615</v>
      </c>
      <c r="H1365" s="263"/>
      <c r="I1365" s="457"/>
    </row>
    <row r="1366" spans="1:9" x14ac:dyDescent="0.25">
      <c r="A1366" s="272"/>
      <c r="B1366" s="388" t="s">
        <v>222</v>
      </c>
      <c r="C1366" s="274"/>
      <c r="D1366" s="424"/>
      <c r="E1366" s="273"/>
      <c r="F1366" s="274"/>
      <c r="G1366" s="275">
        <f>SUM(G1357:G1365)</f>
        <v>392316.33333333337</v>
      </c>
      <c r="H1366" s="275"/>
      <c r="I1366" s="459">
        <f>G1366+H1366</f>
        <v>392316.33333333337</v>
      </c>
    </row>
    <row r="1367" spans="1:9" x14ac:dyDescent="0.25">
      <c r="A1367" s="277"/>
      <c r="B1367" s="389" t="s">
        <v>229</v>
      </c>
      <c r="C1367" s="279"/>
      <c r="D1367" s="425"/>
      <c r="E1367" s="278"/>
      <c r="F1367" s="279"/>
      <c r="G1367" s="280"/>
      <c r="H1367" s="281"/>
      <c r="I1367" s="460">
        <f>I1366*0.15</f>
        <v>58847.450000000004</v>
      </c>
    </row>
    <row r="1368" spans="1:9" x14ac:dyDescent="0.25">
      <c r="A1368" s="277"/>
      <c r="B1368" s="389" t="s">
        <v>222</v>
      </c>
      <c r="C1368" s="279"/>
      <c r="D1368" s="426"/>
      <c r="E1368" s="278"/>
      <c r="F1368" s="279"/>
      <c r="G1368" s="262"/>
      <c r="H1368" s="281"/>
      <c r="I1368" s="461">
        <f>I1366+I1367</f>
        <v>451163.78333333338</v>
      </c>
    </row>
    <row r="1369" spans="1:9" x14ac:dyDescent="0.25">
      <c r="A1369" s="282"/>
      <c r="B1369" s="390" t="s">
        <v>230</v>
      </c>
      <c r="C1369" s="284"/>
      <c r="D1369" s="427"/>
      <c r="E1369" s="283"/>
      <c r="F1369" s="284"/>
      <c r="G1369" s="324"/>
      <c r="H1369" s="325"/>
      <c r="I1369" s="462">
        <f>ROUNDUP(I1368,-2)</f>
        <v>451200</v>
      </c>
    </row>
    <row r="1370" spans="1:9" x14ac:dyDescent="0.25">
      <c r="A1370" s="268"/>
      <c r="B1370" s="397"/>
      <c r="C1370" s="328"/>
      <c r="D1370" s="440"/>
      <c r="E1370" s="269"/>
      <c r="F1370" s="328"/>
      <c r="G1370" s="329"/>
      <c r="H1370" s="271"/>
      <c r="I1370" s="474"/>
    </row>
    <row r="1371" spans="1:9" x14ac:dyDescent="0.25">
      <c r="A1371" s="258">
        <v>31</v>
      </c>
      <c r="B1371" s="385" t="s">
        <v>1330</v>
      </c>
      <c r="C1371" s="261"/>
      <c r="D1371" s="422">
        <v>1</v>
      </c>
      <c r="E1371" s="265" t="s">
        <v>14</v>
      </c>
      <c r="F1371" s="261"/>
      <c r="G1371" s="262"/>
      <c r="H1371" s="263"/>
      <c r="I1371" s="457"/>
    </row>
    <row r="1372" spans="1:9" x14ac:dyDescent="0.25">
      <c r="A1372" s="258" t="s">
        <v>231</v>
      </c>
      <c r="B1372" s="408" t="s">
        <v>1331</v>
      </c>
      <c r="C1372" s="261"/>
      <c r="D1372" s="448">
        <v>1.01</v>
      </c>
      <c r="E1372" s="345" t="s">
        <v>14</v>
      </c>
      <c r="F1372" s="261">
        <v>95000</v>
      </c>
      <c r="G1372" s="263">
        <f>F1372*D1372</f>
        <v>95950</v>
      </c>
      <c r="I1372" s="457"/>
    </row>
    <row r="1373" spans="1:9" x14ac:dyDescent="0.25">
      <c r="A1373" s="258"/>
      <c r="B1373" s="408" t="s">
        <v>1316</v>
      </c>
      <c r="C1373" s="261"/>
      <c r="D1373" s="448">
        <v>0.05</v>
      </c>
      <c r="E1373" s="345" t="s">
        <v>20</v>
      </c>
      <c r="F1373" s="261">
        <v>274000</v>
      </c>
      <c r="G1373" s="263">
        <f>F1373*D1373</f>
        <v>13700</v>
      </c>
      <c r="I1373" s="457"/>
    </row>
    <row r="1374" spans="1:9" x14ac:dyDescent="0.25">
      <c r="A1374" s="258"/>
      <c r="B1374" s="408" t="s">
        <v>217</v>
      </c>
      <c r="C1374" s="261"/>
      <c r="D1374" s="448">
        <v>0.25</v>
      </c>
      <c r="E1374" s="345" t="s">
        <v>1229</v>
      </c>
      <c r="F1374" s="261">
        <f>VLOOKUP($B1374,HSU!$B$6:$D$38,3,FALSE)</f>
        <v>70000</v>
      </c>
      <c r="G1374" s="262">
        <f>F1374*D1374</f>
        <v>17500</v>
      </c>
      <c r="H1374" s="263"/>
      <c r="I1374" s="457"/>
    </row>
    <row r="1375" spans="1:9" x14ac:dyDescent="0.25">
      <c r="A1375" s="258"/>
      <c r="B1375" s="408" t="s">
        <v>1153</v>
      </c>
      <c r="C1375" s="261"/>
      <c r="D1375" s="448">
        <v>0.5</v>
      </c>
      <c r="E1375" s="345" t="s">
        <v>1229</v>
      </c>
      <c r="F1375" s="261">
        <f>VLOOKUP($B1375,HSU!$B$6:$D$38,3,FALSE)</f>
        <v>80000</v>
      </c>
      <c r="G1375" s="262">
        <f>F1375*D1375</f>
        <v>40000</v>
      </c>
      <c r="H1375" s="263"/>
      <c r="I1375" s="457"/>
    </row>
    <row r="1376" spans="1:9" x14ac:dyDescent="0.25">
      <c r="A1376" s="258"/>
      <c r="B1376" s="408" t="s">
        <v>1174</v>
      </c>
      <c r="C1376" s="261"/>
      <c r="D1376" s="448">
        <v>0.05</v>
      </c>
      <c r="E1376" s="345" t="s">
        <v>1229</v>
      </c>
      <c r="F1376" s="261">
        <f>VLOOKUP($B1376,HSU!$B$6:$D$38,3,FALSE)</f>
        <v>85000</v>
      </c>
      <c r="G1376" s="262">
        <f>F1376*D1376</f>
        <v>4250</v>
      </c>
      <c r="H1376" s="263"/>
      <c r="I1376" s="457"/>
    </row>
    <row r="1377" spans="1:9" x14ac:dyDescent="0.25">
      <c r="A1377" s="258"/>
      <c r="B1377" s="408" t="s">
        <v>220</v>
      </c>
      <c r="C1377" s="261"/>
      <c r="D1377" s="448">
        <v>1.2999999999999999E-3</v>
      </c>
      <c r="E1377" s="345" t="s">
        <v>1229</v>
      </c>
      <c r="F1377" s="261">
        <f>VLOOKUP($B1377,HSU!$B$6:$D$38,3,FALSE)</f>
        <v>85000</v>
      </c>
      <c r="G1377" s="262">
        <f>F1377*D1377</f>
        <v>110.5</v>
      </c>
      <c r="H1377" s="263"/>
      <c r="I1377" s="457"/>
    </row>
    <row r="1378" spans="1:9" x14ac:dyDescent="0.25">
      <c r="A1378" s="272"/>
      <c r="B1378" s="388" t="s">
        <v>222</v>
      </c>
      <c r="C1378" s="274"/>
      <c r="D1378" s="424"/>
      <c r="E1378" s="273"/>
      <c r="F1378" s="274"/>
      <c r="G1378" s="275">
        <f>SUM(G1372:G1377)</f>
        <v>171510.5</v>
      </c>
      <c r="H1378" s="275"/>
      <c r="I1378" s="459">
        <f>G1378+H1378</f>
        <v>171510.5</v>
      </c>
    </row>
    <row r="1379" spans="1:9" x14ac:dyDescent="0.25">
      <c r="A1379" s="277"/>
      <c r="B1379" s="389" t="s">
        <v>229</v>
      </c>
      <c r="C1379" s="279"/>
      <c r="D1379" s="425"/>
      <c r="E1379" s="278"/>
      <c r="F1379" s="279"/>
      <c r="G1379" s="280"/>
      <c r="H1379" s="281"/>
      <c r="I1379" s="460">
        <f>I1378*0.15</f>
        <v>25726.575000000001</v>
      </c>
    </row>
    <row r="1380" spans="1:9" x14ac:dyDescent="0.25">
      <c r="A1380" s="277"/>
      <c r="B1380" s="389" t="s">
        <v>222</v>
      </c>
      <c r="C1380" s="279"/>
      <c r="D1380" s="426"/>
      <c r="E1380" s="278"/>
      <c r="F1380" s="279"/>
      <c r="G1380" s="262"/>
      <c r="H1380" s="281"/>
      <c r="I1380" s="461">
        <f>I1378+I1379</f>
        <v>197237.07500000001</v>
      </c>
    </row>
    <row r="1381" spans="1:9" x14ac:dyDescent="0.25">
      <c r="A1381" s="282"/>
      <c r="B1381" s="390" t="s">
        <v>230</v>
      </c>
      <c r="C1381" s="284"/>
      <c r="D1381" s="427"/>
      <c r="E1381" s="283"/>
      <c r="F1381" s="284"/>
      <c r="G1381" s="324"/>
      <c r="H1381" s="325"/>
      <c r="I1381" s="462">
        <f>ROUNDUP(I1380,-2)</f>
        <v>197300</v>
      </c>
    </row>
    <row r="1382" spans="1:9" x14ac:dyDescent="0.25">
      <c r="A1382" s="268"/>
      <c r="B1382" s="397"/>
      <c r="C1382" s="328"/>
      <c r="D1382" s="440"/>
      <c r="E1382" s="269"/>
      <c r="F1382" s="328"/>
      <c r="G1382" s="329"/>
      <c r="H1382" s="271"/>
      <c r="I1382" s="474"/>
    </row>
    <row r="1383" spans="1:9" x14ac:dyDescent="0.25">
      <c r="A1383" s="258">
        <v>31</v>
      </c>
      <c r="B1383" s="385" t="s">
        <v>1352</v>
      </c>
      <c r="C1383" s="261"/>
      <c r="D1383" s="422">
        <v>1</v>
      </c>
      <c r="E1383" s="265" t="s">
        <v>46</v>
      </c>
      <c r="F1383" s="261"/>
      <c r="G1383" s="262"/>
      <c r="H1383" s="263"/>
      <c r="I1383" s="457"/>
    </row>
    <row r="1384" spans="1:9" x14ac:dyDescent="0.25">
      <c r="A1384" s="258" t="s">
        <v>231</v>
      </c>
      <c r="B1384" s="408" t="s">
        <v>1350</v>
      </c>
      <c r="C1384" s="261"/>
      <c r="D1384" s="448">
        <v>1</v>
      </c>
      <c r="E1384" s="345" t="s">
        <v>1042</v>
      </c>
      <c r="F1384" s="261">
        <v>3500000</v>
      </c>
      <c r="G1384" s="263">
        <f>F1384*D1384</f>
        <v>3500000</v>
      </c>
      <c r="I1384" s="457"/>
    </row>
    <row r="1385" spans="1:9" x14ac:dyDescent="0.25">
      <c r="A1385" s="258"/>
      <c r="B1385" s="408" t="s">
        <v>1351</v>
      </c>
      <c r="C1385" s="261"/>
      <c r="D1385" s="448">
        <v>1</v>
      </c>
      <c r="E1385" s="345" t="s">
        <v>1042</v>
      </c>
      <c r="F1385" s="261">
        <v>300000</v>
      </c>
      <c r="G1385" s="263">
        <f>F1385*D1385</f>
        <v>300000</v>
      </c>
      <c r="I1385" s="457"/>
    </row>
    <row r="1386" spans="1:9" x14ac:dyDescent="0.25">
      <c r="A1386" s="258"/>
      <c r="B1386" s="408" t="s">
        <v>217</v>
      </c>
      <c r="C1386" s="261"/>
      <c r="D1386" s="448">
        <v>0.2</v>
      </c>
      <c r="E1386" s="345" t="s">
        <v>1229</v>
      </c>
      <c r="F1386" s="261">
        <f>VLOOKUP($B1386,HSU!$B$6:$D$38,3,FALSE)</f>
        <v>70000</v>
      </c>
      <c r="G1386" s="262">
        <f>F1386*D1386</f>
        <v>14000</v>
      </c>
      <c r="H1386" s="263"/>
      <c r="I1386" s="457"/>
    </row>
    <row r="1387" spans="1:9" x14ac:dyDescent="0.25">
      <c r="A1387" s="258"/>
      <c r="B1387" s="408" t="s">
        <v>1179</v>
      </c>
      <c r="C1387" s="261"/>
      <c r="D1387" s="448">
        <v>0.45</v>
      </c>
      <c r="E1387" s="345" t="s">
        <v>1229</v>
      </c>
      <c r="F1387" s="261">
        <f>VLOOKUP($B1387,HSU!$B$6:$D$38,3,FALSE)</f>
        <v>80000</v>
      </c>
      <c r="G1387" s="262">
        <f>F1387*D1387</f>
        <v>36000</v>
      </c>
      <c r="H1387" s="263"/>
      <c r="I1387" s="457"/>
    </row>
    <row r="1388" spans="1:9" x14ac:dyDescent="0.25">
      <c r="A1388" s="258"/>
      <c r="B1388" s="408" t="s">
        <v>1180</v>
      </c>
      <c r="C1388" s="261"/>
      <c r="D1388" s="448">
        <v>0.15</v>
      </c>
      <c r="E1388" s="345" t="s">
        <v>1229</v>
      </c>
      <c r="F1388" s="261">
        <f>VLOOKUP($B1388,HSU!$B$6:$D$38,3,FALSE)</f>
        <v>90000</v>
      </c>
      <c r="G1388" s="262">
        <f>F1388*D1388</f>
        <v>13500</v>
      </c>
      <c r="H1388" s="263"/>
      <c r="I1388" s="457"/>
    </row>
    <row r="1389" spans="1:9" x14ac:dyDescent="0.25">
      <c r="A1389" s="258"/>
      <c r="B1389" s="408" t="s">
        <v>220</v>
      </c>
      <c r="C1389" s="261"/>
      <c r="D1389" s="448">
        <v>0.1</v>
      </c>
      <c r="E1389" s="345" t="s">
        <v>1229</v>
      </c>
      <c r="F1389" s="261">
        <f>VLOOKUP($B1389,HSU!$B$6:$D$38,3,FALSE)</f>
        <v>85000</v>
      </c>
      <c r="G1389" s="262">
        <f>F1389*D1389</f>
        <v>8500</v>
      </c>
      <c r="H1389" s="263"/>
      <c r="I1389" s="457"/>
    </row>
    <row r="1390" spans="1:9" x14ac:dyDescent="0.25">
      <c r="A1390" s="272"/>
      <c r="B1390" s="388" t="s">
        <v>222</v>
      </c>
      <c r="C1390" s="274"/>
      <c r="D1390" s="424"/>
      <c r="E1390" s="273"/>
      <c r="F1390" s="274"/>
      <c r="G1390" s="275">
        <f>SUM(G1384:G1389)</f>
        <v>3872000</v>
      </c>
      <c r="H1390" s="275"/>
      <c r="I1390" s="459">
        <f>G1390+H1390</f>
        <v>3872000</v>
      </c>
    </row>
    <row r="1391" spans="1:9" x14ac:dyDescent="0.25">
      <c r="A1391" s="277"/>
      <c r="B1391" s="389" t="s">
        <v>229</v>
      </c>
      <c r="C1391" s="279"/>
      <c r="D1391" s="425"/>
      <c r="E1391" s="278"/>
      <c r="F1391" s="279"/>
      <c r="G1391" s="280"/>
      <c r="H1391" s="281"/>
      <c r="I1391" s="460">
        <f>I1390*0.15</f>
        <v>580800</v>
      </c>
    </row>
    <row r="1392" spans="1:9" x14ac:dyDescent="0.25">
      <c r="A1392" s="277"/>
      <c r="B1392" s="389" t="s">
        <v>222</v>
      </c>
      <c r="C1392" s="279"/>
      <c r="D1392" s="426"/>
      <c r="E1392" s="278"/>
      <c r="F1392" s="279"/>
      <c r="G1392" s="262"/>
      <c r="H1392" s="281"/>
      <c r="I1392" s="461">
        <f>I1390+I1391</f>
        <v>4452800</v>
      </c>
    </row>
    <row r="1393" spans="1:9" x14ac:dyDescent="0.25">
      <c r="A1393" s="282"/>
      <c r="B1393" s="390" t="s">
        <v>230</v>
      </c>
      <c r="C1393" s="284"/>
      <c r="D1393" s="427"/>
      <c r="E1393" s="283"/>
      <c r="F1393" s="284"/>
      <c r="G1393" s="324"/>
      <c r="H1393" s="325"/>
      <c r="I1393" s="462">
        <f>ROUNDUP(I1392,-2)</f>
        <v>4452800</v>
      </c>
    </row>
    <row r="1394" spans="1:9" ht="15.75" thickBot="1" x14ac:dyDescent="0.3">
      <c r="I1394" s="463"/>
    </row>
    <row r="1395" spans="1:9" ht="16.5" thickTop="1" thickBot="1" x14ac:dyDescent="0.3">
      <c r="A1395" s="253" t="s">
        <v>3</v>
      </c>
      <c r="B1395" s="381" t="s">
        <v>1375</v>
      </c>
      <c r="C1395" s="376" t="s">
        <v>1370</v>
      </c>
      <c r="D1395" s="418" t="s">
        <v>1371</v>
      </c>
      <c r="E1395" s="376" t="s">
        <v>1372</v>
      </c>
      <c r="F1395" s="376" t="s">
        <v>1374</v>
      </c>
      <c r="G1395" s="254" t="s">
        <v>1373</v>
      </c>
      <c r="H1395" s="255"/>
      <c r="I1395" s="455" t="s">
        <v>222</v>
      </c>
    </row>
    <row r="1396" spans="1:9" ht="16.5" thickTop="1" thickBot="1" x14ac:dyDescent="0.3">
      <c r="A1396" s="256" t="s">
        <v>223</v>
      </c>
      <c r="B1396" s="382" t="s">
        <v>224</v>
      </c>
      <c r="C1396" s="340" t="s">
        <v>225</v>
      </c>
      <c r="D1396" s="419" t="s">
        <v>226</v>
      </c>
      <c r="E1396" s="340" t="s">
        <v>1376</v>
      </c>
      <c r="F1396" s="257" t="s">
        <v>1377</v>
      </c>
      <c r="G1396" s="340" t="s">
        <v>1378</v>
      </c>
      <c r="H1396" s="257" t="s">
        <v>1377</v>
      </c>
      <c r="I1396" s="456" t="s">
        <v>1379</v>
      </c>
    </row>
    <row r="1397" spans="1:9" ht="15.75" thickTop="1" x14ac:dyDescent="0.25">
      <c r="A1397" s="297"/>
      <c r="B1397" s="393"/>
      <c r="C1397" s="343"/>
      <c r="D1397" s="447"/>
      <c r="E1397" s="342"/>
      <c r="F1397" s="343"/>
      <c r="G1397" s="300"/>
      <c r="H1397" s="344"/>
      <c r="I1397" s="466"/>
    </row>
    <row r="1398" spans="1:9" x14ac:dyDescent="0.25">
      <c r="A1398" s="258"/>
      <c r="B1398" s="383" t="s">
        <v>1353</v>
      </c>
      <c r="C1398" s="261"/>
      <c r="D1398" s="439"/>
      <c r="E1398" s="259"/>
      <c r="F1398" s="261"/>
      <c r="G1398" s="262"/>
      <c r="H1398" s="263"/>
      <c r="I1398" s="457"/>
    </row>
    <row r="1399" spans="1:9" x14ac:dyDescent="0.25">
      <c r="A1399" s="268"/>
      <c r="B1399" s="397"/>
      <c r="C1399" s="328"/>
      <c r="D1399" s="440"/>
      <c r="E1399" s="269"/>
      <c r="F1399" s="328"/>
      <c r="G1399" s="329"/>
      <c r="H1399" s="271"/>
      <c r="I1399" s="474"/>
    </row>
    <row r="1400" spans="1:9" x14ac:dyDescent="0.25">
      <c r="A1400" s="268"/>
      <c r="B1400" s="397"/>
      <c r="C1400" s="328"/>
      <c r="D1400" s="440"/>
      <c r="E1400" s="269"/>
      <c r="F1400" s="328"/>
      <c r="G1400" s="329"/>
      <c r="H1400" s="271"/>
      <c r="I1400" s="474"/>
    </row>
    <row r="1401" spans="1:9" ht="26.25" x14ac:dyDescent="0.25">
      <c r="A1401" s="258">
        <v>31</v>
      </c>
      <c r="B1401" s="385" t="s">
        <v>1355</v>
      </c>
      <c r="C1401" s="261"/>
      <c r="D1401" s="422">
        <v>1</v>
      </c>
      <c r="E1401" s="265" t="s">
        <v>14</v>
      </c>
      <c r="F1401" s="261"/>
      <c r="G1401" s="262"/>
      <c r="H1401" s="263"/>
      <c r="I1401" s="457"/>
    </row>
    <row r="1402" spans="1:9" x14ac:dyDescent="0.25">
      <c r="A1402" s="258" t="s">
        <v>231</v>
      </c>
      <c r="B1402" s="408" t="s">
        <v>1365</v>
      </c>
      <c r="C1402" s="261"/>
      <c r="D1402" s="448">
        <f>2*120%</f>
        <v>2.4</v>
      </c>
      <c r="E1402" s="345" t="s">
        <v>16</v>
      </c>
      <c r="F1402" s="261">
        <f>58750/6</f>
        <v>9791.6666666666661</v>
      </c>
      <c r="G1402" s="263">
        <f>F1402*D1402</f>
        <v>23499.999999999996</v>
      </c>
      <c r="I1402" s="457"/>
    </row>
    <row r="1403" spans="1:9" x14ac:dyDescent="0.25">
      <c r="A1403" s="258"/>
      <c r="B1403" s="408" t="s">
        <v>1366</v>
      </c>
      <c r="C1403" s="261"/>
      <c r="D1403" s="448">
        <f>5*120%</f>
        <v>6</v>
      </c>
      <c r="E1403" s="345" t="s">
        <v>16</v>
      </c>
      <c r="F1403" s="261">
        <v>4958.333333333333</v>
      </c>
      <c r="G1403" s="263">
        <f>F1403*D1403</f>
        <v>29750</v>
      </c>
      <c r="I1403" s="457"/>
    </row>
    <row r="1404" spans="1:9" x14ac:dyDescent="0.25">
      <c r="A1404" s="258"/>
      <c r="B1404" s="408" t="s">
        <v>1354</v>
      </c>
      <c r="C1404" s="261"/>
      <c r="D1404" s="448">
        <v>1</v>
      </c>
      <c r="E1404" s="345"/>
      <c r="F1404" s="261">
        <f>F1402*10%</f>
        <v>979.16666666666663</v>
      </c>
      <c r="G1404" s="263">
        <f>F1404*D1404</f>
        <v>979.16666666666663</v>
      </c>
      <c r="I1404" s="457"/>
    </row>
    <row r="1405" spans="1:9" x14ac:dyDescent="0.25">
      <c r="A1405" s="258"/>
      <c r="B1405" s="408" t="s">
        <v>217</v>
      </c>
      <c r="C1405" s="261"/>
      <c r="D1405" s="448">
        <v>0.73399999999999999</v>
      </c>
      <c r="E1405" s="345" t="s">
        <v>1229</v>
      </c>
      <c r="F1405" s="261">
        <f>VLOOKUP($B1405,HSU!$B$6:$D$38,3,FALSE)</f>
        <v>70000</v>
      </c>
      <c r="G1405" s="262">
        <f>F1405*D1405</f>
        <v>51380</v>
      </c>
      <c r="H1405" s="263"/>
      <c r="I1405" s="457"/>
    </row>
    <row r="1406" spans="1:9" x14ac:dyDescent="0.25">
      <c r="A1406" s="258"/>
      <c r="B1406" s="408" t="s">
        <v>1177</v>
      </c>
      <c r="C1406" s="261"/>
      <c r="D1406" s="448">
        <v>0.73399999999999999</v>
      </c>
      <c r="E1406" s="345" t="s">
        <v>1229</v>
      </c>
      <c r="F1406" s="261">
        <f>VLOOKUP($B1406,HSU!$B$6:$D$38,3,FALSE)</f>
        <v>80000</v>
      </c>
      <c r="G1406" s="262">
        <f>F1406*D1406</f>
        <v>58720</v>
      </c>
      <c r="H1406" s="263"/>
      <c r="I1406" s="457"/>
    </row>
    <row r="1407" spans="1:9" x14ac:dyDescent="0.25">
      <c r="A1407" s="258"/>
      <c r="B1407" s="408" t="s">
        <v>1176</v>
      </c>
      <c r="C1407" s="261"/>
      <c r="D1407" s="448">
        <v>7.2999999999999995E-2</v>
      </c>
      <c r="E1407" s="345" t="s">
        <v>1229</v>
      </c>
      <c r="F1407" s="261">
        <f>VLOOKUP($B1407,HSU!$B$6:$D$38,3,FALSE)</f>
        <v>90000</v>
      </c>
      <c r="G1407" s="262">
        <f>F1407*D1407</f>
        <v>6570</v>
      </c>
      <c r="H1407" s="263"/>
      <c r="I1407" s="457"/>
    </row>
    <row r="1408" spans="1:9" x14ac:dyDescent="0.25">
      <c r="A1408" s="258"/>
      <c r="B1408" s="408" t="s">
        <v>220</v>
      </c>
      <c r="C1408" s="261"/>
      <c r="D1408" s="448">
        <v>3.6999999999999998E-2</v>
      </c>
      <c r="E1408" s="345" t="s">
        <v>1229</v>
      </c>
      <c r="F1408" s="261">
        <f>VLOOKUP($B1408,HSU!$B$6:$D$38,3,FALSE)</f>
        <v>85000</v>
      </c>
      <c r="G1408" s="262">
        <f>F1408*D1408</f>
        <v>3145</v>
      </c>
      <c r="H1408" s="263"/>
      <c r="I1408" s="457"/>
    </row>
    <row r="1409" spans="1:9" x14ac:dyDescent="0.25">
      <c r="A1409" s="272"/>
      <c r="B1409" s="388" t="s">
        <v>222</v>
      </c>
      <c r="C1409" s="274"/>
      <c r="D1409" s="424"/>
      <c r="E1409" s="273"/>
      <c r="F1409" s="274"/>
      <c r="G1409" s="275">
        <f>SUM(G1402:G1408)</f>
        <v>174044.16666666666</v>
      </c>
      <c r="H1409" s="275"/>
      <c r="I1409" s="459">
        <f>G1409+H1409</f>
        <v>174044.16666666666</v>
      </c>
    </row>
    <row r="1410" spans="1:9" x14ac:dyDescent="0.25">
      <c r="A1410" s="277"/>
      <c r="B1410" s="389" t="s">
        <v>229</v>
      </c>
      <c r="C1410" s="279"/>
      <c r="D1410" s="425"/>
      <c r="E1410" s="278"/>
      <c r="F1410" s="279"/>
      <c r="G1410" s="280"/>
      <c r="H1410" s="281"/>
      <c r="I1410" s="460">
        <f>I1409*0.15</f>
        <v>26106.624999999996</v>
      </c>
    </row>
    <row r="1411" spans="1:9" x14ac:dyDescent="0.25">
      <c r="A1411" s="277"/>
      <c r="B1411" s="389" t="s">
        <v>222</v>
      </c>
      <c r="C1411" s="279"/>
      <c r="D1411" s="426"/>
      <c r="E1411" s="278"/>
      <c r="F1411" s="279"/>
      <c r="G1411" s="262"/>
      <c r="H1411" s="281"/>
      <c r="I1411" s="461">
        <f>I1409+I1410</f>
        <v>200150.79166666666</v>
      </c>
    </row>
    <row r="1412" spans="1:9" x14ac:dyDescent="0.25">
      <c r="A1412" s="282"/>
      <c r="B1412" s="390" t="s">
        <v>230</v>
      </c>
      <c r="C1412" s="284"/>
      <c r="D1412" s="427"/>
      <c r="E1412" s="283"/>
      <c r="F1412" s="284"/>
      <c r="G1412" s="324"/>
      <c r="H1412" s="325"/>
      <c r="I1412" s="462">
        <f>ROUNDUP(I1411,-2)</f>
        <v>200200</v>
      </c>
    </row>
    <row r="1413" spans="1:9" x14ac:dyDescent="0.25">
      <c r="A1413" s="268"/>
      <c r="B1413" s="397"/>
      <c r="C1413" s="328"/>
      <c r="D1413" s="440"/>
      <c r="E1413" s="269"/>
      <c r="F1413" s="328"/>
      <c r="G1413" s="329"/>
      <c r="H1413" s="271"/>
      <c r="I1413" s="474"/>
    </row>
    <row r="1414" spans="1:9" ht="26.25" x14ac:dyDescent="0.25">
      <c r="A1414" s="258">
        <v>31</v>
      </c>
      <c r="B1414" s="385" t="s">
        <v>1356</v>
      </c>
      <c r="C1414" s="261"/>
      <c r="D1414" s="422">
        <v>1</v>
      </c>
      <c r="E1414" s="265" t="s">
        <v>14</v>
      </c>
      <c r="F1414" s="261"/>
      <c r="G1414" s="262"/>
      <c r="H1414" s="263"/>
      <c r="I1414" s="457"/>
    </row>
    <row r="1415" spans="1:9" x14ac:dyDescent="0.25">
      <c r="A1415" s="258" t="s">
        <v>231</v>
      </c>
      <c r="B1415" s="408" t="s">
        <v>1357</v>
      </c>
      <c r="C1415" s="261"/>
      <c r="D1415" s="448">
        <v>26</v>
      </c>
      <c r="E1415" s="345" t="s">
        <v>25</v>
      </c>
      <c r="F1415" s="261">
        <f>HSM!E333</f>
        <v>3150</v>
      </c>
      <c r="G1415" s="263">
        <f>F1415*D1415</f>
        <v>81900</v>
      </c>
      <c r="I1415" s="457"/>
    </row>
    <row r="1416" spans="1:9" x14ac:dyDescent="0.25">
      <c r="A1416" s="258"/>
      <c r="B1416" s="408" t="s">
        <v>217</v>
      </c>
      <c r="C1416" s="261"/>
      <c r="D1416" s="448">
        <v>0.15</v>
      </c>
      <c r="E1416" s="345" t="s">
        <v>1229</v>
      </c>
      <c r="F1416" s="261">
        <f>VLOOKUP($B1416,HSU!$B$6:$D$38,3,FALSE)</f>
        <v>70000</v>
      </c>
      <c r="G1416" s="262">
        <f>F1416*D1416</f>
        <v>10500</v>
      </c>
      <c r="H1416" s="263"/>
      <c r="I1416" s="457"/>
    </row>
    <row r="1417" spans="1:9" x14ac:dyDescent="0.25">
      <c r="A1417" s="258"/>
      <c r="B1417" s="408" t="s">
        <v>1177</v>
      </c>
      <c r="C1417" s="261"/>
      <c r="D1417" s="448">
        <v>7.4999999999999997E-2</v>
      </c>
      <c r="E1417" s="345" t="s">
        <v>1229</v>
      </c>
      <c r="F1417" s="261">
        <f>VLOOKUP($B1417,HSU!$B$6:$D$38,3,FALSE)</f>
        <v>80000</v>
      </c>
      <c r="G1417" s="262">
        <f>F1417*D1417</f>
        <v>6000</v>
      </c>
      <c r="H1417" s="263"/>
      <c r="I1417" s="457"/>
    </row>
    <row r="1418" spans="1:9" x14ac:dyDescent="0.25">
      <c r="A1418" s="258"/>
      <c r="B1418" s="408" t="s">
        <v>1176</v>
      </c>
      <c r="C1418" s="261"/>
      <c r="D1418" s="448">
        <v>7.4999999999999997E-3</v>
      </c>
      <c r="E1418" s="345" t="s">
        <v>1229</v>
      </c>
      <c r="F1418" s="261">
        <f>VLOOKUP($B1418,HSU!$B$6:$D$38,3,FALSE)</f>
        <v>90000</v>
      </c>
      <c r="G1418" s="262">
        <f>F1418*D1418</f>
        <v>675</v>
      </c>
      <c r="H1418" s="263"/>
      <c r="I1418" s="457"/>
    </row>
    <row r="1419" spans="1:9" x14ac:dyDescent="0.25">
      <c r="A1419" s="258"/>
      <c r="B1419" s="408" t="s">
        <v>220</v>
      </c>
      <c r="C1419" s="261"/>
      <c r="D1419" s="448">
        <v>8.0000000000000002E-3</v>
      </c>
      <c r="E1419" s="345" t="s">
        <v>1229</v>
      </c>
      <c r="F1419" s="261">
        <f>VLOOKUP($B1419,HSU!$B$6:$D$38,3,FALSE)</f>
        <v>85000</v>
      </c>
      <c r="G1419" s="262">
        <f>F1419*D1419</f>
        <v>680</v>
      </c>
      <c r="H1419" s="263"/>
      <c r="I1419" s="457"/>
    </row>
    <row r="1420" spans="1:9" x14ac:dyDescent="0.25">
      <c r="A1420" s="272"/>
      <c r="B1420" s="388" t="s">
        <v>222</v>
      </c>
      <c r="C1420" s="274"/>
      <c r="D1420" s="424"/>
      <c r="E1420" s="273"/>
      <c r="F1420" s="274"/>
      <c r="G1420" s="275">
        <f>SUM(G1415:G1419)</f>
        <v>99755</v>
      </c>
      <c r="H1420" s="275"/>
      <c r="I1420" s="459">
        <f>G1420+H1420</f>
        <v>99755</v>
      </c>
    </row>
    <row r="1421" spans="1:9" x14ac:dyDescent="0.25">
      <c r="A1421" s="277"/>
      <c r="B1421" s="389" t="s">
        <v>229</v>
      </c>
      <c r="C1421" s="279"/>
      <c r="D1421" s="425"/>
      <c r="E1421" s="278"/>
      <c r="F1421" s="279"/>
      <c r="G1421" s="280"/>
      <c r="H1421" s="281"/>
      <c r="I1421" s="460">
        <f>I1420*0.15</f>
        <v>14963.25</v>
      </c>
    </row>
    <row r="1422" spans="1:9" x14ac:dyDescent="0.25">
      <c r="A1422" s="277"/>
      <c r="B1422" s="389" t="s">
        <v>222</v>
      </c>
      <c r="C1422" s="279"/>
      <c r="D1422" s="426"/>
      <c r="E1422" s="278"/>
      <c r="F1422" s="279"/>
      <c r="G1422" s="262"/>
      <c r="H1422" s="281"/>
      <c r="I1422" s="461">
        <f>I1420+I1421</f>
        <v>114718.25</v>
      </c>
    </row>
    <row r="1423" spans="1:9" x14ac:dyDescent="0.25">
      <c r="A1423" s="282"/>
      <c r="B1423" s="390" t="s">
        <v>230</v>
      </c>
      <c r="C1423" s="284"/>
      <c r="D1423" s="427"/>
      <c r="E1423" s="283"/>
      <c r="F1423" s="284"/>
      <c r="G1423" s="324"/>
      <c r="H1423" s="325"/>
      <c r="I1423" s="462">
        <f>ROUNDUP(I1422,-2)</f>
        <v>114800</v>
      </c>
    </row>
    <row r="1424" spans="1:9" x14ac:dyDescent="0.25">
      <c r="A1424" s="268"/>
      <c r="B1424" s="397"/>
      <c r="C1424" s="328"/>
      <c r="D1424" s="440"/>
      <c r="E1424" s="269"/>
      <c r="F1424" s="328"/>
      <c r="G1424" s="329"/>
      <c r="H1424" s="271"/>
      <c r="I1424" s="474"/>
    </row>
    <row r="1425" spans="1:9" ht="26.25" x14ac:dyDescent="0.25">
      <c r="A1425" s="258">
        <v>31</v>
      </c>
      <c r="B1425" s="385" t="s">
        <v>1358</v>
      </c>
      <c r="C1425" s="261"/>
      <c r="D1425" s="422">
        <v>1</v>
      </c>
      <c r="E1425" s="265" t="s">
        <v>14</v>
      </c>
      <c r="F1425" s="261"/>
      <c r="G1425" s="262"/>
      <c r="H1425" s="263"/>
      <c r="I1425" s="457"/>
    </row>
    <row r="1426" spans="1:9" x14ac:dyDescent="0.25">
      <c r="A1426" s="258" t="s">
        <v>231</v>
      </c>
      <c r="B1426" s="408" t="s">
        <v>1360</v>
      </c>
      <c r="C1426" s="261"/>
      <c r="D1426" s="448">
        <v>5</v>
      </c>
      <c r="E1426" s="345" t="s">
        <v>1359</v>
      </c>
      <c r="F1426" s="261">
        <f>HSM!E335</f>
        <v>8100</v>
      </c>
      <c r="G1426" s="263">
        <f>F1426*D1426</f>
        <v>40500</v>
      </c>
      <c r="I1426" s="457"/>
    </row>
    <row r="1427" spans="1:9" x14ac:dyDescent="0.25">
      <c r="A1427" s="258"/>
      <c r="B1427" s="408" t="s">
        <v>1209</v>
      </c>
      <c r="C1427" s="261"/>
      <c r="D1427" s="448">
        <v>8</v>
      </c>
      <c r="E1427" s="345" t="s">
        <v>233</v>
      </c>
      <c r="F1427" s="261">
        <v>1350</v>
      </c>
      <c r="G1427" s="263">
        <f>F1427*D1427</f>
        <v>10800</v>
      </c>
      <c r="I1427" s="457"/>
    </row>
    <row r="1428" spans="1:9" x14ac:dyDescent="0.25">
      <c r="A1428" s="258"/>
      <c r="B1428" s="408" t="s">
        <v>1361</v>
      </c>
      <c r="C1428" s="261"/>
      <c r="D1428" s="448">
        <v>3.2000000000000001E-2</v>
      </c>
      <c r="E1428" s="345" t="s">
        <v>1329</v>
      </c>
      <c r="F1428" s="261">
        <v>274000</v>
      </c>
      <c r="G1428" s="263">
        <f>F1428*D1428</f>
        <v>8768</v>
      </c>
      <c r="I1428" s="457"/>
    </row>
    <row r="1429" spans="1:9" x14ac:dyDescent="0.25">
      <c r="A1429" s="258"/>
      <c r="B1429" s="408" t="s">
        <v>217</v>
      </c>
      <c r="C1429" s="261"/>
      <c r="D1429" s="448">
        <v>0.4</v>
      </c>
      <c r="E1429" s="345" t="s">
        <v>1229</v>
      </c>
      <c r="F1429" s="261">
        <f>VLOOKUP($B1429,HSU!$B$6:$D$38,3,FALSE)</f>
        <v>70000</v>
      </c>
      <c r="G1429" s="262">
        <f>F1429*D1429</f>
        <v>28000</v>
      </c>
      <c r="H1429" s="263"/>
      <c r="I1429" s="457"/>
    </row>
    <row r="1430" spans="1:9" x14ac:dyDescent="0.25">
      <c r="A1430" s="258"/>
      <c r="B1430" s="408" t="s">
        <v>1177</v>
      </c>
      <c r="C1430" s="261"/>
      <c r="D1430" s="448">
        <v>0.2</v>
      </c>
      <c r="E1430" s="345" t="s">
        <v>1229</v>
      </c>
      <c r="F1430" s="261">
        <f>VLOOKUP($B1430,HSU!$B$6:$D$38,3,FALSE)</f>
        <v>80000</v>
      </c>
      <c r="G1430" s="262">
        <f>F1430*D1430</f>
        <v>16000</v>
      </c>
      <c r="H1430" s="263"/>
      <c r="I1430" s="457"/>
    </row>
    <row r="1431" spans="1:9" x14ac:dyDescent="0.25">
      <c r="A1431" s="258"/>
      <c r="B1431" s="408" t="s">
        <v>1176</v>
      </c>
      <c r="C1431" s="261"/>
      <c r="D1431" s="448">
        <v>0.02</v>
      </c>
      <c r="E1431" s="345" t="s">
        <v>1229</v>
      </c>
      <c r="F1431" s="261">
        <f>VLOOKUP($B1431,HSU!$B$6:$D$38,3,FALSE)</f>
        <v>90000</v>
      </c>
      <c r="G1431" s="262">
        <f>F1431*D1431</f>
        <v>1800</v>
      </c>
      <c r="H1431" s="263"/>
      <c r="I1431" s="457"/>
    </row>
    <row r="1432" spans="1:9" x14ac:dyDescent="0.25">
      <c r="A1432" s="258"/>
      <c r="B1432" s="408" t="s">
        <v>220</v>
      </c>
      <c r="C1432" s="261"/>
      <c r="D1432" s="448">
        <v>2E-3</v>
      </c>
      <c r="E1432" s="345" t="s">
        <v>1229</v>
      </c>
      <c r="F1432" s="261">
        <f>VLOOKUP($B1432,HSU!$B$6:$D$38,3,FALSE)</f>
        <v>85000</v>
      </c>
      <c r="G1432" s="262">
        <f>F1432*D1432</f>
        <v>170</v>
      </c>
      <c r="H1432" s="263"/>
      <c r="I1432" s="457"/>
    </row>
    <row r="1433" spans="1:9" x14ac:dyDescent="0.25">
      <c r="A1433" s="272"/>
      <c r="B1433" s="388" t="s">
        <v>222</v>
      </c>
      <c r="C1433" s="274"/>
      <c r="D1433" s="424"/>
      <c r="E1433" s="273"/>
      <c r="F1433" s="274"/>
      <c r="G1433" s="275">
        <f>SUM(G1426:G1432)</f>
        <v>106038</v>
      </c>
      <c r="H1433" s="275"/>
      <c r="I1433" s="459">
        <f>G1433+H1433</f>
        <v>106038</v>
      </c>
    </row>
    <row r="1434" spans="1:9" x14ac:dyDescent="0.25">
      <c r="A1434" s="277"/>
      <c r="B1434" s="389" t="s">
        <v>229</v>
      </c>
      <c r="C1434" s="279"/>
      <c r="D1434" s="425"/>
      <c r="E1434" s="278"/>
      <c r="F1434" s="279"/>
      <c r="G1434" s="280"/>
      <c r="H1434" s="281"/>
      <c r="I1434" s="460">
        <f>I1433*0.15</f>
        <v>15905.699999999999</v>
      </c>
    </row>
    <row r="1435" spans="1:9" x14ac:dyDescent="0.25">
      <c r="A1435" s="277"/>
      <c r="B1435" s="389" t="s">
        <v>222</v>
      </c>
      <c r="C1435" s="279"/>
      <c r="D1435" s="426"/>
      <c r="E1435" s="278"/>
      <c r="F1435" s="279"/>
      <c r="G1435" s="262"/>
      <c r="H1435" s="281"/>
      <c r="I1435" s="461">
        <f>I1433+I1434</f>
        <v>121943.7</v>
      </c>
    </row>
    <row r="1436" spans="1:9" x14ac:dyDescent="0.25">
      <c r="A1436" s="282"/>
      <c r="B1436" s="390" t="s">
        <v>230</v>
      </c>
      <c r="C1436" s="284"/>
      <c r="D1436" s="427"/>
      <c r="E1436" s="283"/>
      <c r="F1436" s="284"/>
      <c r="G1436" s="324"/>
      <c r="H1436" s="325"/>
      <c r="I1436" s="462">
        <f>ROUNDUP(I1435,-2)</f>
        <v>122000</v>
      </c>
    </row>
    <row r="1437" spans="1:9" x14ac:dyDescent="0.25">
      <c r="A1437" s="268"/>
      <c r="B1437" s="397"/>
      <c r="C1437" s="328"/>
      <c r="D1437" s="440"/>
      <c r="E1437" s="269"/>
      <c r="F1437" s="328"/>
      <c r="G1437" s="329"/>
      <c r="H1437" s="271"/>
      <c r="I1437" s="474"/>
    </row>
    <row r="1438" spans="1:9" ht="26.25" x14ac:dyDescent="0.25">
      <c r="A1438" s="258">
        <v>31</v>
      </c>
      <c r="B1438" s="385" t="s">
        <v>1363</v>
      </c>
      <c r="C1438" s="261"/>
      <c r="D1438" s="422">
        <v>1</v>
      </c>
      <c r="E1438" s="265" t="s">
        <v>16</v>
      </c>
      <c r="F1438" s="261"/>
      <c r="G1438" s="262"/>
      <c r="H1438" s="263"/>
      <c r="I1438" s="457"/>
    </row>
    <row r="1439" spans="1:9" x14ac:dyDescent="0.25">
      <c r="A1439" s="258" t="s">
        <v>231</v>
      </c>
      <c r="B1439" s="408" t="s">
        <v>1364</v>
      </c>
      <c r="C1439" s="261"/>
      <c r="D1439" s="448">
        <v>0.25</v>
      </c>
      <c r="E1439" s="345" t="s">
        <v>1359</v>
      </c>
      <c r="F1439" s="261">
        <f>HSM!E374</f>
        <v>42300</v>
      </c>
      <c r="G1439" s="263">
        <f>F1439*D1439</f>
        <v>10575</v>
      </c>
      <c r="I1439" s="457"/>
    </row>
    <row r="1440" spans="1:9" x14ac:dyDescent="0.25">
      <c r="A1440" s="258"/>
      <c r="B1440" s="408" t="s">
        <v>1362</v>
      </c>
      <c r="C1440" s="261"/>
      <c r="D1440" s="448">
        <v>0.1</v>
      </c>
      <c r="E1440" s="345" t="s">
        <v>233</v>
      </c>
      <c r="F1440" s="261">
        <v>27000</v>
      </c>
      <c r="G1440" s="263">
        <f>F1440*D1440</f>
        <v>2700</v>
      </c>
      <c r="I1440" s="457"/>
    </row>
    <row r="1441" spans="1:9" x14ac:dyDescent="0.25">
      <c r="A1441" s="258"/>
      <c r="B1441" s="408" t="s">
        <v>217</v>
      </c>
      <c r="C1441" s="261"/>
      <c r="D1441" s="448">
        <v>0.1</v>
      </c>
      <c r="E1441" s="345" t="s">
        <v>1229</v>
      </c>
      <c r="F1441" s="261">
        <f>VLOOKUP($B1441,HSU!$B$6:$D$38,3,FALSE)</f>
        <v>70000</v>
      </c>
      <c r="G1441" s="262">
        <f>F1441*D1441</f>
        <v>7000</v>
      </c>
      <c r="H1441" s="263"/>
      <c r="I1441" s="457"/>
    </row>
    <row r="1442" spans="1:9" x14ac:dyDescent="0.25">
      <c r="A1442" s="258"/>
      <c r="B1442" s="408" t="s">
        <v>1177</v>
      </c>
      <c r="C1442" s="261"/>
      <c r="D1442" s="448">
        <v>0.2</v>
      </c>
      <c r="E1442" s="345" t="s">
        <v>1229</v>
      </c>
      <c r="F1442" s="261">
        <f>VLOOKUP($B1442,HSU!$B$6:$D$38,3,FALSE)</f>
        <v>80000</v>
      </c>
      <c r="G1442" s="262">
        <f>F1442*D1442</f>
        <v>16000</v>
      </c>
      <c r="H1442" s="263"/>
      <c r="I1442" s="457"/>
    </row>
    <row r="1443" spans="1:9" x14ac:dyDescent="0.25">
      <c r="A1443" s="258"/>
      <c r="B1443" s="408" t="s">
        <v>1176</v>
      </c>
      <c r="C1443" s="261"/>
      <c r="D1443" s="448">
        <v>0.02</v>
      </c>
      <c r="E1443" s="345" t="s">
        <v>1229</v>
      </c>
      <c r="F1443" s="261">
        <f>VLOOKUP($B1443,HSU!$B$6:$D$38,3,FALSE)</f>
        <v>90000</v>
      </c>
      <c r="G1443" s="262">
        <f>F1443*D1443</f>
        <v>1800</v>
      </c>
      <c r="H1443" s="263"/>
      <c r="I1443" s="457"/>
    </row>
    <row r="1444" spans="1:9" x14ac:dyDescent="0.25">
      <c r="A1444" s="258"/>
      <c r="B1444" s="408" t="s">
        <v>220</v>
      </c>
      <c r="C1444" s="261"/>
      <c r="D1444" s="448">
        <v>5.0000000000000001E-3</v>
      </c>
      <c r="E1444" s="345" t="s">
        <v>1229</v>
      </c>
      <c r="F1444" s="261">
        <f>VLOOKUP($B1444,HSU!$B$6:$D$38,3,FALSE)</f>
        <v>85000</v>
      </c>
      <c r="G1444" s="262">
        <f>F1444*D1444</f>
        <v>425</v>
      </c>
      <c r="H1444" s="263"/>
      <c r="I1444" s="457"/>
    </row>
    <row r="1445" spans="1:9" x14ac:dyDescent="0.25">
      <c r="A1445" s="272"/>
      <c r="B1445" s="388" t="s">
        <v>222</v>
      </c>
      <c r="C1445" s="274"/>
      <c r="D1445" s="424"/>
      <c r="E1445" s="273"/>
      <c r="F1445" s="274"/>
      <c r="G1445" s="275">
        <f>SUM(G1439:G1444)</f>
        <v>38500</v>
      </c>
      <c r="H1445" s="275"/>
      <c r="I1445" s="459">
        <f>G1445+H1445</f>
        <v>38500</v>
      </c>
    </row>
    <row r="1446" spans="1:9" x14ac:dyDescent="0.25">
      <c r="A1446" s="277"/>
      <c r="B1446" s="389" t="s">
        <v>229</v>
      </c>
      <c r="C1446" s="279"/>
      <c r="D1446" s="425"/>
      <c r="E1446" s="278"/>
      <c r="F1446" s="279"/>
      <c r="G1446" s="280"/>
      <c r="H1446" s="281"/>
      <c r="I1446" s="460">
        <f>I1445*0.15</f>
        <v>5775</v>
      </c>
    </row>
    <row r="1447" spans="1:9" x14ac:dyDescent="0.25">
      <c r="A1447" s="277"/>
      <c r="B1447" s="389" t="s">
        <v>222</v>
      </c>
      <c r="C1447" s="279"/>
      <c r="D1447" s="426"/>
      <c r="E1447" s="278"/>
      <c r="F1447" s="279"/>
      <c r="G1447" s="262"/>
      <c r="H1447" s="281"/>
      <c r="I1447" s="461">
        <f>I1445+I1446</f>
        <v>44275</v>
      </c>
    </row>
    <row r="1448" spans="1:9" x14ac:dyDescent="0.25">
      <c r="A1448" s="282"/>
      <c r="B1448" s="390" t="s">
        <v>230</v>
      </c>
      <c r="C1448" s="284"/>
      <c r="D1448" s="427"/>
      <c r="E1448" s="283"/>
      <c r="F1448" s="284"/>
      <c r="G1448" s="324"/>
      <c r="H1448" s="325"/>
      <c r="I1448" s="462">
        <f>ROUNDUP(I1447,-2)</f>
        <v>44300</v>
      </c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9"/>
  <sheetViews>
    <sheetView workbookViewId="0">
      <selection activeCell="E55" sqref="E55"/>
    </sheetView>
  </sheetViews>
  <sheetFormatPr defaultRowHeight="15" x14ac:dyDescent="0.25"/>
  <cols>
    <col min="1" max="1" width="3.42578125" bestFit="1" customWidth="1"/>
    <col min="2" max="2" width="75.5703125" bestFit="1" customWidth="1"/>
    <col min="3" max="3" width="9.85546875" bestFit="1" customWidth="1"/>
    <col min="4" max="4" width="7.7109375" bestFit="1" customWidth="1"/>
    <col min="5" max="5" width="14.42578125" bestFit="1" customWidth="1"/>
  </cols>
  <sheetData>
    <row r="1" spans="1:5" ht="17.25" thickTop="1" x14ac:dyDescent="0.25">
      <c r="A1" s="235" t="s">
        <v>235</v>
      </c>
      <c r="B1" s="237" t="s">
        <v>236</v>
      </c>
      <c r="C1" s="237" t="s">
        <v>237</v>
      </c>
      <c r="D1" s="237" t="s">
        <v>10</v>
      </c>
      <c r="E1" s="192" t="s">
        <v>11</v>
      </c>
    </row>
    <row r="2" spans="1:5" ht="16.5" x14ac:dyDescent="0.25">
      <c r="A2" s="236"/>
      <c r="B2" s="238"/>
      <c r="C2" s="238"/>
      <c r="D2" s="238"/>
      <c r="E2" s="193" t="s">
        <v>238</v>
      </c>
    </row>
    <row r="3" spans="1:5" ht="17.25" thickBot="1" x14ac:dyDescent="0.3">
      <c r="A3" s="194">
        <v>1</v>
      </c>
      <c r="B3" s="195">
        <v>2</v>
      </c>
      <c r="C3" s="195">
        <v>3</v>
      </c>
      <c r="D3" s="195">
        <v>4</v>
      </c>
      <c r="E3" s="196">
        <v>5</v>
      </c>
    </row>
    <row r="4" spans="1:5" ht="17.25" thickTop="1" x14ac:dyDescent="0.3">
      <c r="A4" s="197" t="s">
        <v>239</v>
      </c>
      <c r="B4" s="198" t="s">
        <v>240</v>
      </c>
      <c r="C4" s="198"/>
      <c r="D4" s="198"/>
      <c r="E4" s="199"/>
    </row>
    <row r="5" spans="1:5" ht="16.5" x14ac:dyDescent="0.3">
      <c r="A5" s="200">
        <v>1</v>
      </c>
      <c r="B5" s="201" t="s">
        <v>241</v>
      </c>
      <c r="C5" s="201"/>
      <c r="D5" s="201" t="s">
        <v>242</v>
      </c>
      <c r="E5" s="202">
        <v>76500</v>
      </c>
    </row>
    <row r="6" spans="1:5" ht="16.5" x14ac:dyDescent="0.3">
      <c r="A6" s="200">
        <v>2</v>
      </c>
      <c r="B6" s="201" t="s">
        <v>243</v>
      </c>
      <c r="C6" s="201"/>
      <c r="D6" s="201" t="s">
        <v>242</v>
      </c>
      <c r="E6" s="202">
        <v>145000</v>
      </c>
    </row>
    <row r="7" spans="1:5" ht="16.5" x14ac:dyDescent="0.3">
      <c r="A7" s="200">
        <v>3</v>
      </c>
      <c r="B7" s="201" t="s">
        <v>244</v>
      </c>
      <c r="C7" s="201"/>
      <c r="D7" s="201" t="s">
        <v>242</v>
      </c>
      <c r="E7" s="202">
        <v>264000</v>
      </c>
    </row>
    <row r="8" spans="1:5" ht="16.5" x14ac:dyDescent="0.3">
      <c r="A8" s="200">
        <v>4</v>
      </c>
      <c r="B8" s="201" t="s">
        <v>245</v>
      </c>
      <c r="C8" s="201"/>
      <c r="D8" s="201" t="s">
        <v>242</v>
      </c>
      <c r="E8" s="202">
        <v>140220</v>
      </c>
    </row>
    <row r="9" spans="1:5" ht="16.5" x14ac:dyDescent="0.3">
      <c r="A9" s="200">
        <v>5</v>
      </c>
      <c r="B9" s="201" t="s">
        <v>246</v>
      </c>
      <c r="C9" s="201"/>
      <c r="D9" s="201" t="s">
        <v>242</v>
      </c>
      <c r="E9" s="202">
        <v>180630</v>
      </c>
    </row>
    <row r="10" spans="1:5" ht="16.5" x14ac:dyDescent="0.3">
      <c r="A10" s="200">
        <v>6</v>
      </c>
      <c r="B10" s="201" t="s">
        <v>247</v>
      </c>
      <c r="C10" s="201"/>
      <c r="D10" s="201" t="s">
        <v>242</v>
      </c>
      <c r="E10" s="202">
        <v>188820</v>
      </c>
    </row>
    <row r="11" spans="1:5" ht="16.5" x14ac:dyDescent="0.3">
      <c r="A11" s="200">
        <v>7</v>
      </c>
      <c r="B11" s="201" t="s">
        <v>248</v>
      </c>
      <c r="C11" s="201"/>
      <c r="D11" s="201" t="s">
        <v>242</v>
      </c>
      <c r="E11" s="202">
        <v>67500</v>
      </c>
    </row>
    <row r="12" spans="1:5" ht="16.5" x14ac:dyDescent="0.3">
      <c r="A12" s="200">
        <v>8</v>
      </c>
      <c r="B12" s="201" t="s">
        <v>249</v>
      </c>
      <c r="C12" s="201"/>
      <c r="D12" s="201" t="s">
        <v>242</v>
      </c>
      <c r="E12" s="202">
        <v>228240</v>
      </c>
    </row>
    <row r="13" spans="1:5" ht="16.5" x14ac:dyDescent="0.3">
      <c r="A13" s="200">
        <v>9</v>
      </c>
      <c r="B13" s="201" t="s">
        <v>250</v>
      </c>
      <c r="C13" s="201"/>
      <c r="D13" s="201" t="s">
        <v>242</v>
      </c>
      <c r="E13" s="202">
        <v>274000</v>
      </c>
    </row>
    <row r="14" spans="1:5" ht="16.5" x14ac:dyDescent="0.3">
      <c r="A14" s="200">
        <v>10</v>
      </c>
      <c r="B14" s="201" t="s">
        <v>251</v>
      </c>
      <c r="C14" s="201"/>
      <c r="D14" s="201" t="s">
        <v>242</v>
      </c>
      <c r="E14" s="202">
        <v>272970</v>
      </c>
    </row>
    <row r="15" spans="1:5" ht="16.5" x14ac:dyDescent="0.3">
      <c r="A15" s="200">
        <v>11</v>
      </c>
      <c r="B15" s="201" t="s">
        <v>252</v>
      </c>
      <c r="C15" s="201"/>
      <c r="D15" s="201" t="s">
        <v>38</v>
      </c>
      <c r="E15" s="202">
        <v>194.976</v>
      </c>
    </row>
    <row r="16" spans="1:5" ht="16.5" x14ac:dyDescent="0.3">
      <c r="A16" s="200">
        <v>12</v>
      </c>
      <c r="B16" s="201" t="s">
        <v>253</v>
      </c>
      <c r="C16" s="201"/>
      <c r="D16" s="201" t="s">
        <v>242</v>
      </c>
      <c r="E16" s="202">
        <v>36000</v>
      </c>
    </row>
    <row r="17" spans="1:5" ht="16.5" x14ac:dyDescent="0.3">
      <c r="A17" s="200">
        <v>13</v>
      </c>
      <c r="B17" s="201" t="s">
        <v>254</v>
      </c>
      <c r="C17" s="201"/>
      <c r="D17" s="201" t="s">
        <v>242</v>
      </c>
      <c r="E17" s="202">
        <v>80550</v>
      </c>
    </row>
    <row r="18" spans="1:5" ht="16.5" x14ac:dyDescent="0.3">
      <c r="A18" s="200">
        <v>14</v>
      </c>
      <c r="B18" s="201" t="s">
        <v>255</v>
      </c>
      <c r="C18" s="201"/>
      <c r="D18" s="201" t="s">
        <v>242</v>
      </c>
      <c r="E18" s="202">
        <v>234000</v>
      </c>
    </row>
    <row r="19" spans="1:5" ht="16.5" x14ac:dyDescent="0.3">
      <c r="A19" s="200">
        <v>15</v>
      </c>
      <c r="B19" s="201" t="s">
        <v>256</v>
      </c>
      <c r="C19" s="201"/>
      <c r="D19" s="201" t="s">
        <v>242</v>
      </c>
      <c r="E19" s="202">
        <v>131760</v>
      </c>
    </row>
    <row r="20" spans="1:5" ht="16.5" x14ac:dyDescent="0.3">
      <c r="A20" s="200">
        <v>16</v>
      </c>
      <c r="B20" s="201" t="s">
        <v>257</v>
      </c>
      <c r="C20" s="201"/>
      <c r="D20" s="201" t="s">
        <v>242</v>
      </c>
      <c r="E20" s="202">
        <v>45000</v>
      </c>
    </row>
    <row r="21" spans="1:5" ht="16.5" x14ac:dyDescent="0.3">
      <c r="A21" s="200">
        <v>17</v>
      </c>
      <c r="B21" s="201" t="s">
        <v>258</v>
      </c>
      <c r="C21" s="201"/>
      <c r="D21" s="201" t="s">
        <v>242</v>
      </c>
      <c r="E21" s="202">
        <v>99270</v>
      </c>
    </row>
    <row r="22" spans="1:5" ht="16.5" x14ac:dyDescent="0.3">
      <c r="A22" s="200">
        <v>18</v>
      </c>
      <c r="B22" s="201" t="s">
        <v>259</v>
      </c>
      <c r="C22" s="201"/>
      <c r="D22" s="201" t="s">
        <v>242</v>
      </c>
      <c r="E22" s="202">
        <v>129420</v>
      </c>
    </row>
    <row r="23" spans="1:5" ht="16.5" x14ac:dyDescent="0.3">
      <c r="A23" s="200">
        <v>19</v>
      </c>
      <c r="B23" s="201" t="s">
        <v>260</v>
      </c>
      <c r="C23" s="201"/>
      <c r="D23" s="201" t="s">
        <v>242</v>
      </c>
      <c r="E23" s="202">
        <v>147510</v>
      </c>
    </row>
    <row r="24" spans="1:5" ht="16.5" x14ac:dyDescent="0.3">
      <c r="A24" s="200">
        <v>20</v>
      </c>
      <c r="B24" s="201" t="s">
        <v>261</v>
      </c>
      <c r="C24" s="201"/>
      <c r="D24" s="201" t="s">
        <v>242</v>
      </c>
      <c r="E24" s="202">
        <v>29999.7</v>
      </c>
    </row>
    <row r="25" spans="1:5" ht="16.5" x14ac:dyDescent="0.3">
      <c r="A25" s="200">
        <v>21</v>
      </c>
      <c r="B25" s="201" t="s">
        <v>262</v>
      </c>
      <c r="C25" s="201"/>
      <c r="D25" s="201" t="s">
        <v>242</v>
      </c>
      <c r="E25" s="202">
        <v>129000</v>
      </c>
    </row>
    <row r="26" spans="1:5" ht="16.5" x14ac:dyDescent="0.3">
      <c r="A26" s="200">
        <v>22</v>
      </c>
      <c r="B26" s="201" t="s">
        <v>263</v>
      </c>
      <c r="C26" s="201"/>
      <c r="D26" s="201" t="s">
        <v>242</v>
      </c>
      <c r="E26" s="202">
        <v>36000</v>
      </c>
    </row>
    <row r="27" spans="1:5" ht="16.5" x14ac:dyDescent="0.3">
      <c r="A27" s="200">
        <v>23</v>
      </c>
      <c r="B27" s="201" t="s">
        <v>264</v>
      </c>
      <c r="C27" s="201"/>
      <c r="D27" s="201" t="s">
        <v>242</v>
      </c>
      <c r="E27" s="202">
        <v>97200</v>
      </c>
    </row>
    <row r="28" spans="1:5" ht="16.5" x14ac:dyDescent="0.3">
      <c r="A28" s="200">
        <v>24</v>
      </c>
      <c r="B28" s="201" t="s">
        <v>265</v>
      </c>
      <c r="C28" s="201"/>
      <c r="D28" s="201" t="s">
        <v>242</v>
      </c>
      <c r="E28" s="202">
        <v>59999.4</v>
      </c>
    </row>
    <row r="29" spans="1:5" ht="16.5" x14ac:dyDescent="0.3">
      <c r="A29" s="200">
        <v>25</v>
      </c>
      <c r="B29" s="201" t="s">
        <v>266</v>
      </c>
      <c r="C29" s="201"/>
      <c r="D29" s="201" t="s">
        <v>242</v>
      </c>
      <c r="E29" s="202">
        <v>90000</v>
      </c>
    </row>
    <row r="30" spans="1:5" ht="16.5" x14ac:dyDescent="0.3">
      <c r="A30" s="200">
        <v>26</v>
      </c>
      <c r="B30" s="201" t="s">
        <v>267</v>
      </c>
      <c r="C30" s="201"/>
      <c r="D30" s="201" t="s">
        <v>242</v>
      </c>
      <c r="E30" s="202">
        <v>274000</v>
      </c>
    </row>
    <row r="31" spans="1:5" ht="16.5" x14ac:dyDescent="0.3">
      <c r="A31" s="200">
        <v>27</v>
      </c>
      <c r="B31" s="201" t="s">
        <v>268</v>
      </c>
      <c r="C31" s="201"/>
      <c r="D31" s="201" t="s">
        <v>269</v>
      </c>
      <c r="E31" s="202">
        <v>850</v>
      </c>
    </row>
    <row r="32" spans="1:5" ht="16.5" x14ac:dyDescent="0.3">
      <c r="A32" s="200">
        <v>28</v>
      </c>
      <c r="B32" s="201" t="s">
        <v>270</v>
      </c>
      <c r="C32" s="201"/>
      <c r="D32" s="201" t="s">
        <v>242</v>
      </c>
      <c r="E32" s="202">
        <v>446280.3</v>
      </c>
    </row>
    <row r="33" spans="1:5" ht="16.5" x14ac:dyDescent="0.3">
      <c r="A33" s="200">
        <v>29</v>
      </c>
      <c r="B33" s="201" t="s">
        <v>271</v>
      </c>
      <c r="C33" s="201"/>
      <c r="D33" s="201" t="s">
        <v>38</v>
      </c>
      <c r="E33" s="202">
        <v>146.66400000000002</v>
      </c>
    </row>
    <row r="34" spans="1:5" ht="16.5" x14ac:dyDescent="0.3">
      <c r="A34" s="200">
        <v>30</v>
      </c>
      <c r="B34" s="201" t="s">
        <v>272</v>
      </c>
      <c r="C34" s="201"/>
      <c r="D34" s="201" t="s">
        <v>242</v>
      </c>
      <c r="E34" s="202">
        <v>211400</v>
      </c>
    </row>
    <row r="35" spans="1:5" ht="16.5" x14ac:dyDescent="0.3">
      <c r="A35" s="200">
        <v>31</v>
      </c>
      <c r="B35" s="201" t="s">
        <v>273</v>
      </c>
      <c r="C35" s="201"/>
      <c r="D35" s="201" t="s">
        <v>242</v>
      </c>
      <c r="E35" s="202">
        <v>211400</v>
      </c>
    </row>
    <row r="36" spans="1:5" ht="16.5" x14ac:dyDescent="0.3">
      <c r="A36" s="200">
        <v>32</v>
      </c>
      <c r="B36" s="201" t="s">
        <v>274</v>
      </c>
      <c r="C36" s="201"/>
      <c r="D36" s="201" t="s">
        <v>242</v>
      </c>
      <c r="E36" s="202">
        <v>211400</v>
      </c>
    </row>
    <row r="37" spans="1:5" ht="16.5" x14ac:dyDescent="0.3">
      <c r="A37" s="200">
        <v>33</v>
      </c>
      <c r="B37" s="201" t="s">
        <v>275</v>
      </c>
      <c r="C37" s="201"/>
      <c r="D37" s="201" t="s">
        <v>242</v>
      </c>
      <c r="E37" s="202">
        <v>211400</v>
      </c>
    </row>
    <row r="38" spans="1:5" ht="16.5" x14ac:dyDescent="0.3">
      <c r="A38" s="200">
        <v>34</v>
      </c>
      <c r="B38" s="201" t="s">
        <v>276</v>
      </c>
      <c r="C38" s="201"/>
      <c r="D38" s="201" t="s">
        <v>242</v>
      </c>
      <c r="E38" s="202">
        <v>78750</v>
      </c>
    </row>
    <row r="39" spans="1:5" ht="16.5" x14ac:dyDescent="0.3">
      <c r="A39" s="200">
        <v>35</v>
      </c>
      <c r="B39" s="201" t="s">
        <v>277</v>
      </c>
      <c r="C39" s="201"/>
      <c r="D39" s="201" t="s">
        <v>242</v>
      </c>
      <c r="E39" s="202">
        <v>69750</v>
      </c>
    </row>
    <row r="40" spans="1:5" ht="16.5" x14ac:dyDescent="0.3">
      <c r="A40" s="200">
        <v>36</v>
      </c>
      <c r="B40" s="201" t="s">
        <v>278</v>
      </c>
      <c r="C40" s="201"/>
      <c r="D40" s="201" t="s">
        <v>242</v>
      </c>
      <c r="E40" s="202">
        <v>157500</v>
      </c>
    </row>
    <row r="41" spans="1:5" ht="16.5" x14ac:dyDescent="0.3">
      <c r="A41" s="200">
        <v>37</v>
      </c>
      <c r="B41" s="201" t="s">
        <v>279</v>
      </c>
      <c r="C41" s="201"/>
      <c r="D41" s="201" t="s">
        <v>280</v>
      </c>
      <c r="E41" s="202">
        <v>139500</v>
      </c>
    </row>
    <row r="42" spans="1:5" ht="16.5" x14ac:dyDescent="0.3">
      <c r="A42" s="200">
        <v>38</v>
      </c>
      <c r="B42" s="201" t="s">
        <v>281</v>
      </c>
      <c r="C42" s="201"/>
      <c r="D42" s="201" t="s">
        <v>280</v>
      </c>
      <c r="E42" s="202">
        <v>148500</v>
      </c>
    </row>
    <row r="43" spans="1:5" ht="16.5" x14ac:dyDescent="0.3">
      <c r="A43" s="200">
        <v>39</v>
      </c>
      <c r="B43" s="201" t="s">
        <v>282</v>
      </c>
      <c r="C43" s="201"/>
      <c r="D43" s="201" t="s">
        <v>280</v>
      </c>
      <c r="E43" s="202">
        <v>108000</v>
      </c>
    </row>
    <row r="44" spans="1:5" ht="16.5" x14ac:dyDescent="0.3">
      <c r="A44" s="200">
        <v>40</v>
      </c>
      <c r="B44" s="201" t="s">
        <v>283</v>
      </c>
      <c r="C44" s="201"/>
      <c r="D44" s="201" t="s">
        <v>280</v>
      </c>
      <c r="E44" s="202">
        <v>81000</v>
      </c>
    </row>
    <row r="45" spans="1:5" ht="16.5" x14ac:dyDescent="0.3">
      <c r="A45" s="200">
        <v>41</v>
      </c>
      <c r="B45" s="201" t="s">
        <v>284</v>
      </c>
      <c r="C45" s="201"/>
      <c r="D45" s="201" t="s">
        <v>280</v>
      </c>
      <c r="E45" s="202">
        <v>81000</v>
      </c>
    </row>
    <row r="46" spans="1:5" ht="16.5" x14ac:dyDescent="0.3">
      <c r="A46" s="200">
        <v>42</v>
      </c>
      <c r="B46" s="201" t="s">
        <v>285</v>
      </c>
      <c r="C46" s="201" t="s">
        <v>239</v>
      </c>
      <c r="D46" s="201" t="s">
        <v>38</v>
      </c>
      <c r="E46" s="202">
        <v>3150</v>
      </c>
    </row>
    <row r="47" spans="1:5" ht="16.5" x14ac:dyDescent="0.3">
      <c r="A47" s="200"/>
      <c r="B47" s="201"/>
      <c r="C47" s="201"/>
      <c r="D47" s="201"/>
      <c r="E47" s="202"/>
    </row>
    <row r="48" spans="1:5" ht="16.5" x14ac:dyDescent="0.3">
      <c r="A48" s="203" t="s">
        <v>239</v>
      </c>
      <c r="B48" s="204" t="s">
        <v>286</v>
      </c>
      <c r="C48" s="204"/>
      <c r="D48" s="204"/>
      <c r="E48" s="205"/>
    </row>
    <row r="49" spans="1:5" ht="16.5" x14ac:dyDescent="0.3">
      <c r="A49" s="200">
        <v>1</v>
      </c>
      <c r="B49" s="201" t="s">
        <v>287</v>
      </c>
      <c r="C49" s="201" t="s">
        <v>239</v>
      </c>
      <c r="D49" s="201" t="s">
        <v>242</v>
      </c>
      <c r="E49" s="202">
        <v>20295000</v>
      </c>
    </row>
    <row r="50" spans="1:5" ht="16.5" x14ac:dyDescent="0.3">
      <c r="A50" s="200">
        <v>2</v>
      </c>
      <c r="B50" s="201" t="s">
        <v>288</v>
      </c>
      <c r="C50" s="201" t="s">
        <v>239</v>
      </c>
      <c r="D50" s="201" t="s">
        <v>242</v>
      </c>
      <c r="E50" s="202">
        <v>21780000</v>
      </c>
    </row>
    <row r="51" spans="1:5" ht="16.5" x14ac:dyDescent="0.3">
      <c r="A51" s="200">
        <v>3</v>
      </c>
      <c r="B51" s="201" t="s">
        <v>289</v>
      </c>
      <c r="C51" s="201" t="s">
        <v>239</v>
      </c>
      <c r="D51" s="201" t="s">
        <v>242</v>
      </c>
      <c r="E51" s="202">
        <v>7425000</v>
      </c>
    </row>
    <row r="52" spans="1:5" ht="16.5" x14ac:dyDescent="0.3">
      <c r="A52" s="200">
        <v>4</v>
      </c>
      <c r="B52" s="201" t="s">
        <v>290</v>
      </c>
      <c r="C52" s="201" t="s">
        <v>239</v>
      </c>
      <c r="D52" s="201" t="s">
        <v>242</v>
      </c>
      <c r="E52" s="202">
        <v>8118000</v>
      </c>
    </row>
    <row r="53" spans="1:5" ht="16.5" x14ac:dyDescent="0.3">
      <c r="A53" s="200">
        <v>5</v>
      </c>
      <c r="B53" s="201" t="s">
        <v>291</v>
      </c>
      <c r="C53" s="201" t="s">
        <v>239</v>
      </c>
      <c r="D53" s="201" t="s">
        <v>242</v>
      </c>
      <c r="E53" s="202">
        <v>8820000</v>
      </c>
    </row>
    <row r="54" spans="1:5" ht="16.5" x14ac:dyDescent="0.3">
      <c r="A54" s="200">
        <v>6</v>
      </c>
      <c r="B54" s="201" t="s">
        <v>292</v>
      </c>
      <c r="C54" s="201" t="s">
        <v>239</v>
      </c>
      <c r="D54" s="201" t="s">
        <v>242</v>
      </c>
      <c r="E54" s="202">
        <v>9067500</v>
      </c>
    </row>
    <row r="55" spans="1:5" ht="16.5" x14ac:dyDescent="0.3">
      <c r="A55" s="200">
        <v>7</v>
      </c>
      <c r="B55" s="201" t="s">
        <v>293</v>
      </c>
      <c r="C55" s="201" t="s">
        <v>239</v>
      </c>
      <c r="D55" s="201" t="s">
        <v>242</v>
      </c>
      <c r="E55" s="202">
        <v>6187500</v>
      </c>
    </row>
    <row r="56" spans="1:5" ht="16.5" x14ac:dyDescent="0.3">
      <c r="A56" s="200">
        <v>8</v>
      </c>
      <c r="B56" s="201" t="s">
        <v>294</v>
      </c>
      <c r="C56" s="201" t="s">
        <v>239</v>
      </c>
      <c r="D56" s="201" t="s">
        <v>242</v>
      </c>
      <c r="E56" s="202">
        <v>6831000</v>
      </c>
    </row>
    <row r="57" spans="1:5" ht="16.5" x14ac:dyDescent="0.3">
      <c r="A57" s="200">
        <v>9</v>
      </c>
      <c r="B57" s="201" t="s">
        <v>295</v>
      </c>
      <c r="C57" s="201" t="s">
        <v>239</v>
      </c>
      <c r="D57" s="201" t="s">
        <v>242</v>
      </c>
      <c r="E57" s="202">
        <v>3465000</v>
      </c>
    </row>
    <row r="58" spans="1:5" ht="16.5" x14ac:dyDescent="0.3">
      <c r="A58" s="200">
        <v>10</v>
      </c>
      <c r="B58" s="201" t="s">
        <v>296</v>
      </c>
      <c r="C58" s="201" t="s">
        <v>239</v>
      </c>
      <c r="D58" s="201" t="s">
        <v>242</v>
      </c>
      <c r="E58" s="202">
        <v>1732500</v>
      </c>
    </row>
    <row r="59" spans="1:5" ht="16.5" x14ac:dyDescent="0.3">
      <c r="A59" s="200">
        <v>11</v>
      </c>
      <c r="B59" s="201" t="s">
        <v>297</v>
      </c>
      <c r="C59" s="201" t="s">
        <v>239</v>
      </c>
      <c r="D59" s="201" t="s">
        <v>242</v>
      </c>
      <c r="E59" s="202">
        <v>2277000</v>
      </c>
    </row>
    <row r="60" spans="1:5" ht="16.5" x14ac:dyDescent="0.3">
      <c r="A60" s="200">
        <v>12</v>
      </c>
      <c r="B60" s="201" t="s">
        <v>298</v>
      </c>
      <c r="C60" s="201" t="s">
        <v>239</v>
      </c>
      <c r="D60" s="201" t="s">
        <v>299</v>
      </c>
      <c r="E60" s="202">
        <v>27000</v>
      </c>
    </row>
    <row r="61" spans="1:5" ht="16.5" x14ac:dyDescent="0.3">
      <c r="A61" s="200">
        <v>13</v>
      </c>
      <c r="B61" s="201" t="s">
        <v>300</v>
      </c>
      <c r="C61" s="201" t="s">
        <v>239</v>
      </c>
      <c r="D61" s="201" t="s">
        <v>299</v>
      </c>
      <c r="E61" s="202">
        <v>24300</v>
      </c>
    </row>
    <row r="62" spans="1:5" ht="16.5" x14ac:dyDescent="0.3">
      <c r="A62" s="200">
        <v>14</v>
      </c>
      <c r="B62" s="201" t="s">
        <v>301</v>
      </c>
      <c r="C62" s="201" t="s">
        <v>239</v>
      </c>
      <c r="D62" s="201" t="s">
        <v>299</v>
      </c>
      <c r="E62" s="202">
        <v>10800</v>
      </c>
    </row>
    <row r="63" spans="1:5" ht="16.5" x14ac:dyDescent="0.3">
      <c r="A63" s="200">
        <v>15</v>
      </c>
      <c r="B63" s="201" t="s">
        <v>302</v>
      </c>
      <c r="C63" s="201" t="s">
        <v>239</v>
      </c>
      <c r="D63" s="201" t="s">
        <v>299</v>
      </c>
      <c r="E63" s="202">
        <v>13500</v>
      </c>
    </row>
    <row r="64" spans="1:5" ht="16.5" x14ac:dyDescent="0.3">
      <c r="A64" s="200">
        <v>16</v>
      </c>
      <c r="B64" s="201" t="s">
        <v>303</v>
      </c>
      <c r="C64" s="201" t="s">
        <v>239</v>
      </c>
      <c r="D64" s="201" t="s">
        <v>299</v>
      </c>
      <c r="E64" s="202">
        <v>22500</v>
      </c>
    </row>
    <row r="65" spans="1:5" ht="16.5" x14ac:dyDescent="0.3">
      <c r="A65" s="200">
        <v>17</v>
      </c>
      <c r="B65" s="201" t="s">
        <v>304</v>
      </c>
      <c r="C65" s="201" t="s">
        <v>239</v>
      </c>
      <c r="D65" s="201" t="s">
        <v>299</v>
      </c>
      <c r="E65" s="202">
        <v>36000</v>
      </c>
    </row>
    <row r="66" spans="1:5" ht="16.5" x14ac:dyDescent="0.3">
      <c r="A66" s="200">
        <v>18</v>
      </c>
      <c r="B66" s="201" t="s">
        <v>305</v>
      </c>
      <c r="C66" s="201" t="s">
        <v>239</v>
      </c>
      <c r="D66" s="201" t="s">
        <v>20</v>
      </c>
      <c r="E66" s="202">
        <v>1607142.6</v>
      </c>
    </row>
    <row r="67" spans="1:5" ht="16.5" x14ac:dyDescent="0.3">
      <c r="A67" s="200">
        <v>19</v>
      </c>
      <c r="B67" s="201" t="s">
        <v>306</v>
      </c>
      <c r="C67" s="201" t="s">
        <v>239</v>
      </c>
      <c r="D67" s="201" t="s">
        <v>20</v>
      </c>
      <c r="E67" s="202">
        <v>2378571.3000000003</v>
      </c>
    </row>
    <row r="68" spans="1:5" ht="16.5" x14ac:dyDescent="0.3">
      <c r="A68" s="200">
        <v>20</v>
      </c>
      <c r="B68" s="201" t="s">
        <v>307</v>
      </c>
      <c r="C68" s="201" t="s">
        <v>239</v>
      </c>
      <c r="D68" s="201" t="s">
        <v>20</v>
      </c>
      <c r="E68" s="202">
        <v>7392856.5</v>
      </c>
    </row>
    <row r="69" spans="1:5" ht="16.5" x14ac:dyDescent="0.3">
      <c r="A69" s="200">
        <v>21</v>
      </c>
      <c r="B69" s="201" t="s">
        <v>308</v>
      </c>
      <c r="C69" s="201" t="s">
        <v>239</v>
      </c>
      <c r="D69" s="201" t="s">
        <v>20</v>
      </c>
      <c r="E69" s="202">
        <v>6750000</v>
      </c>
    </row>
    <row r="70" spans="1:5" ht="16.5" x14ac:dyDescent="0.3">
      <c r="A70" s="200">
        <v>22</v>
      </c>
      <c r="B70" s="201" t="s">
        <v>309</v>
      </c>
      <c r="C70" s="201" t="s">
        <v>239</v>
      </c>
      <c r="D70" s="201" t="s">
        <v>20</v>
      </c>
      <c r="E70" s="202">
        <v>7124999.4000000004</v>
      </c>
    </row>
    <row r="71" spans="1:5" ht="16.5" x14ac:dyDescent="0.3">
      <c r="A71" s="200">
        <v>23</v>
      </c>
      <c r="B71" s="201" t="s">
        <v>310</v>
      </c>
      <c r="C71" s="201" t="s">
        <v>239</v>
      </c>
      <c r="D71" s="201" t="s">
        <v>20</v>
      </c>
      <c r="E71" s="202">
        <v>6557142.6000000006</v>
      </c>
    </row>
    <row r="72" spans="1:5" ht="16.5" x14ac:dyDescent="0.3">
      <c r="A72" s="200">
        <v>24</v>
      </c>
      <c r="B72" s="201" t="s">
        <v>311</v>
      </c>
      <c r="C72" s="201" t="s">
        <v>239</v>
      </c>
      <c r="D72" s="201" t="s">
        <v>20</v>
      </c>
      <c r="E72" s="202">
        <v>6374999.7000000002</v>
      </c>
    </row>
    <row r="73" spans="1:5" ht="16.5" x14ac:dyDescent="0.3">
      <c r="A73" s="200">
        <v>25</v>
      </c>
      <c r="B73" s="201" t="s">
        <v>312</v>
      </c>
      <c r="C73" s="201" t="s">
        <v>239</v>
      </c>
      <c r="D73" s="201" t="s">
        <v>20</v>
      </c>
      <c r="E73" s="202">
        <v>6374999.7000000002</v>
      </c>
    </row>
    <row r="74" spans="1:5" ht="16.5" x14ac:dyDescent="0.3">
      <c r="A74" s="200">
        <v>26</v>
      </c>
      <c r="B74" s="201" t="s">
        <v>313</v>
      </c>
      <c r="C74" s="201" t="s">
        <v>239</v>
      </c>
      <c r="D74" s="201" t="s">
        <v>20</v>
      </c>
      <c r="E74" s="202">
        <v>900000</v>
      </c>
    </row>
    <row r="75" spans="1:5" ht="16.5" x14ac:dyDescent="0.3">
      <c r="A75" s="200">
        <v>27</v>
      </c>
      <c r="B75" s="201" t="s">
        <v>314</v>
      </c>
      <c r="C75" s="201" t="s">
        <v>239</v>
      </c>
      <c r="D75" s="201" t="s">
        <v>20</v>
      </c>
      <c r="E75" s="202">
        <v>956250</v>
      </c>
    </row>
    <row r="76" spans="1:5" ht="16.5" x14ac:dyDescent="0.3">
      <c r="A76" s="200">
        <v>28</v>
      </c>
      <c r="B76" s="201" t="s">
        <v>315</v>
      </c>
      <c r="C76" s="201" t="s">
        <v>239</v>
      </c>
      <c r="D76" s="201" t="s">
        <v>20</v>
      </c>
      <c r="E76" s="202">
        <v>3857142.6</v>
      </c>
    </row>
    <row r="77" spans="1:5" ht="16.5" x14ac:dyDescent="0.3">
      <c r="A77" s="200">
        <v>29</v>
      </c>
      <c r="B77" s="201" t="s">
        <v>316</v>
      </c>
      <c r="C77" s="201" t="s">
        <v>239</v>
      </c>
      <c r="D77" s="201" t="s">
        <v>20</v>
      </c>
      <c r="E77" s="202">
        <v>4218750</v>
      </c>
    </row>
    <row r="78" spans="1:5" ht="16.5" x14ac:dyDescent="0.3">
      <c r="A78" s="200">
        <v>30</v>
      </c>
      <c r="B78" s="201" t="s">
        <v>317</v>
      </c>
      <c r="C78" s="201" t="s">
        <v>239</v>
      </c>
      <c r="D78" s="201" t="s">
        <v>20</v>
      </c>
      <c r="E78" s="202">
        <v>956250</v>
      </c>
    </row>
    <row r="79" spans="1:5" ht="16.5" x14ac:dyDescent="0.3">
      <c r="A79" s="200">
        <v>31</v>
      </c>
      <c r="B79" s="201" t="s">
        <v>318</v>
      </c>
      <c r="C79" s="201" t="s">
        <v>239</v>
      </c>
      <c r="D79" s="201" t="s">
        <v>16</v>
      </c>
      <c r="E79" s="202">
        <v>11250</v>
      </c>
    </row>
    <row r="80" spans="1:5" ht="16.5" x14ac:dyDescent="0.3">
      <c r="A80" s="200">
        <v>32</v>
      </c>
      <c r="B80" s="201" t="s">
        <v>319</v>
      </c>
      <c r="C80" s="201" t="s">
        <v>239</v>
      </c>
      <c r="D80" s="201" t="s">
        <v>320</v>
      </c>
      <c r="E80" s="202">
        <v>47700</v>
      </c>
    </row>
    <row r="81" spans="1:5" ht="16.5" x14ac:dyDescent="0.3">
      <c r="A81" s="200">
        <v>33</v>
      </c>
      <c r="B81" s="201" t="s">
        <v>321</v>
      </c>
      <c r="C81" s="201" t="s">
        <v>239</v>
      </c>
      <c r="D81" s="201" t="s">
        <v>320</v>
      </c>
      <c r="E81" s="202">
        <v>58500</v>
      </c>
    </row>
    <row r="82" spans="1:5" ht="16.5" x14ac:dyDescent="0.3">
      <c r="A82" s="200">
        <v>34</v>
      </c>
      <c r="B82" s="201" t="s">
        <v>322</v>
      </c>
      <c r="C82" s="201" t="s">
        <v>239</v>
      </c>
      <c r="D82" s="201" t="s">
        <v>320</v>
      </c>
      <c r="E82" s="202">
        <v>121500</v>
      </c>
    </row>
    <row r="83" spans="1:5" ht="16.5" x14ac:dyDescent="0.3">
      <c r="A83" s="200">
        <v>35</v>
      </c>
      <c r="B83" s="201" t="s">
        <v>323</v>
      </c>
      <c r="C83" s="201" t="s">
        <v>239</v>
      </c>
      <c r="D83" s="201" t="s">
        <v>320</v>
      </c>
      <c r="E83" s="202">
        <v>108000</v>
      </c>
    </row>
    <row r="84" spans="1:5" ht="16.5" x14ac:dyDescent="0.3">
      <c r="A84" s="200">
        <v>36</v>
      </c>
      <c r="B84" s="201" t="s">
        <v>324</v>
      </c>
      <c r="C84" s="201" t="s">
        <v>239</v>
      </c>
      <c r="D84" s="201" t="s">
        <v>320</v>
      </c>
      <c r="E84" s="202">
        <v>144000</v>
      </c>
    </row>
    <row r="85" spans="1:5" ht="16.5" x14ac:dyDescent="0.3">
      <c r="A85" s="200">
        <v>37</v>
      </c>
      <c r="B85" s="201" t="s">
        <v>325</v>
      </c>
      <c r="C85" s="201" t="s">
        <v>239</v>
      </c>
      <c r="D85" s="201" t="s">
        <v>320</v>
      </c>
      <c r="E85" s="202">
        <v>198000</v>
      </c>
    </row>
    <row r="86" spans="1:5" ht="16.5" x14ac:dyDescent="0.3">
      <c r="A86" s="200">
        <v>38</v>
      </c>
      <c r="B86" s="201" t="s">
        <v>326</v>
      </c>
      <c r="C86" s="201" t="s">
        <v>239</v>
      </c>
      <c r="D86" s="201" t="s">
        <v>320</v>
      </c>
      <c r="E86" s="202">
        <v>162000</v>
      </c>
    </row>
    <row r="87" spans="1:5" ht="16.5" x14ac:dyDescent="0.3">
      <c r="A87" s="200">
        <v>39</v>
      </c>
      <c r="B87" s="201" t="s">
        <v>327</v>
      </c>
      <c r="C87" s="201" t="s">
        <v>239</v>
      </c>
      <c r="D87" s="201" t="s">
        <v>320</v>
      </c>
      <c r="E87" s="202">
        <v>98000</v>
      </c>
    </row>
    <row r="88" spans="1:5" ht="16.5" x14ac:dyDescent="0.3">
      <c r="A88" s="200">
        <v>40</v>
      </c>
      <c r="B88" s="201" t="s">
        <v>328</v>
      </c>
      <c r="C88" s="201" t="s">
        <v>239</v>
      </c>
      <c r="D88" s="201" t="s">
        <v>320</v>
      </c>
      <c r="E88" s="202">
        <v>69000</v>
      </c>
    </row>
    <row r="89" spans="1:5" ht="16.5" x14ac:dyDescent="0.3">
      <c r="A89" s="200">
        <v>40</v>
      </c>
      <c r="B89" s="201" t="s">
        <v>1186</v>
      </c>
      <c r="C89" s="201" t="s">
        <v>239</v>
      </c>
      <c r="D89" s="201" t="s">
        <v>320</v>
      </c>
      <c r="E89" s="202">
        <v>55000</v>
      </c>
    </row>
    <row r="90" spans="1:5" ht="16.5" x14ac:dyDescent="0.3">
      <c r="A90" s="200">
        <v>41</v>
      </c>
      <c r="B90" s="201" t="s">
        <v>329</v>
      </c>
      <c r="C90" s="201" t="s">
        <v>239</v>
      </c>
      <c r="D90" s="201" t="s">
        <v>320</v>
      </c>
      <c r="E90" s="202">
        <v>53100</v>
      </c>
    </row>
    <row r="91" spans="1:5" ht="16.5" x14ac:dyDescent="0.3">
      <c r="A91" s="200">
        <v>42</v>
      </c>
      <c r="B91" s="201" t="s">
        <v>330</v>
      </c>
      <c r="C91" s="201" t="s">
        <v>239</v>
      </c>
      <c r="D91" s="201" t="s">
        <v>320</v>
      </c>
      <c r="E91" s="202">
        <v>51599.700000000004</v>
      </c>
    </row>
    <row r="92" spans="1:5" ht="16.5" x14ac:dyDescent="0.3">
      <c r="A92" s="200"/>
      <c r="B92" s="201"/>
      <c r="C92" s="201"/>
      <c r="D92" s="201"/>
      <c r="E92" s="202"/>
    </row>
    <row r="93" spans="1:5" ht="16.5" x14ac:dyDescent="0.3">
      <c r="A93" s="203" t="s">
        <v>239</v>
      </c>
      <c r="B93" s="204" t="s">
        <v>331</v>
      </c>
      <c r="C93" s="204"/>
      <c r="D93" s="204"/>
      <c r="E93" s="205"/>
    </row>
    <row r="94" spans="1:5" ht="16.5" x14ac:dyDescent="0.3">
      <c r="A94" s="200">
        <v>1</v>
      </c>
      <c r="B94" s="201" t="s">
        <v>332</v>
      </c>
      <c r="C94" s="201"/>
      <c r="D94" s="201" t="s">
        <v>299</v>
      </c>
      <c r="E94" s="202">
        <v>21375</v>
      </c>
    </row>
    <row r="95" spans="1:5" ht="16.5" x14ac:dyDescent="0.3">
      <c r="A95" s="200">
        <v>2</v>
      </c>
      <c r="B95" s="201" t="s">
        <v>333</v>
      </c>
      <c r="C95" s="201"/>
      <c r="D95" s="201" t="s">
        <v>299</v>
      </c>
      <c r="E95" s="202">
        <v>26100</v>
      </c>
    </row>
    <row r="96" spans="1:5" ht="16.5" x14ac:dyDescent="0.3">
      <c r="A96" s="200">
        <v>3</v>
      </c>
      <c r="B96" s="201" t="s">
        <v>334</v>
      </c>
      <c r="C96" s="201"/>
      <c r="D96" s="201" t="s">
        <v>299</v>
      </c>
      <c r="E96" s="202">
        <v>32625</v>
      </c>
    </row>
    <row r="97" spans="1:5" ht="16.5" x14ac:dyDescent="0.3">
      <c r="A97" s="200">
        <v>4</v>
      </c>
      <c r="B97" s="201" t="s">
        <v>335</v>
      </c>
      <c r="C97" s="201"/>
      <c r="D97" s="201" t="s">
        <v>299</v>
      </c>
      <c r="E97" s="202">
        <v>58950</v>
      </c>
    </row>
    <row r="98" spans="1:5" ht="16.5" x14ac:dyDescent="0.3">
      <c r="A98" s="200">
        <v>5</v>
      </c>
      <c r="B98" s="201" t="s">
        <v>336</v>
      </c>
      <c r="C98" s="201"/>
      <c r="D98" s="201" t="s">
        <v>299</v>
      </c>
      <c r="E98" s="202">
        <v>85500</v>
      </c>
    </row>
    <row r="99" spans="1:5" ht="16.5" x14ac:dyDescent="0.3">
      <c r="A99" s="200">
        <v>6</v>
      </c>
      <c r="B99" s="201" t="s">
        <v>337</v>
      </c>
      <c r="C99" s="201"/>
      <c r="D99" s="201" t="s">
        <v>299</v>
      </c>
      <c r="E99" s="202">
        <v>99000</v>
      </c>
    </row>
    <row r="100" spans="1:5" ht="16.5" x14ac:dyDescent="0.3">
      <c r="A100" s="200">
        <v>7</v>
      </c>
      <c r="B100" s="201" t="s">
        <v>338</v>
      </c>
      <c r="C100" s="201"/>
      <c r="D100" s="201" t="s">
        <v>299</v>
      </c>
      <c r="E100" s="202">
        <v>153900</v>
      </c>
    </row>
    <row r="101" spans="1:5" ht="16.5" x14ac:dyDescent="0.3">
      <c r="A101" s="200">
        <v>8</v>
      </c>
      <c r="B101" s="201" t="s">
        <v>339</v>
      </c>
      <c r="C101" s="201"/>
      <c r="D101" s="201" t="s">
        <v>299</v>
      </c>
      <c r="E101" s="202">
        <v>211500</v>
      </c>
    </row>
    <row r="102" spans="1:5" ht="16.5" x14ac:dyDescent="0.3">
      <c r="A102" s="200">
        <v>9</v>
      </c>
      <c r="B102" s="201" t="s">
        <v>340</v>
      </c>
      <c r="C102" s="201"/>
      <c r="D102" s="201" t="s">
        <v>299</v>
      </c>
      <c r="E102" s="202">
        <v>30375</v>
      </c>
    </row>
    <row r="103" spans="1:5" ht="16.5" x14ac:dyDescent="0.3">
      <c r="A103" s="200">
        <v>10</v>
      </c>
      <c r="B103" s="201" t="s">
        <v>341</v>
      </c>
      <c r="C103" s="201"/>
      <c r="D103" s="201" t="s">
        <v>299</v>
      </c>
      <c r="E103" s="202">
        <v>37350</v>
      </c>
    </row>
    <row r="104" spans="1:5" ht="16.5" x14ac:dyDescent="0.3">
      <c r="A104" s="200">
        <v>11</v>
      </c>
      <c r="B104" s="201" t="s">
        <v>342</v>
      </c>
      <c r="C104" s="201"/>
      <c r="D104" s="201" t="s">
        <v>299</v>
      </c>
      <c r="E104" s="202">
        <v>42525</v>
      </c>
    </row>
    <row r="105" spans="1:5" ht="16.5" x14ac:dyDescent="0.3">
      <c r="A105" s="200">
        <v>12</v>
      </c>
      <c r="B105" s="201" t="s">
        <v>343</v>
      </c>
      <c r="C105" s="201"/>
      <c r="D105" s="201" t="s">
        <v>299</v>
      </c>
      <c r="E105" s="202">
        <v>61875</v>
      </c>
    </row>
    <row r="106" spans="1:5" ht="16.5" x14ac:dyDescent="0.3">
      <c r="A106" s="200">
        <v>13</v>
      </c>
      <c r="B106" s="201" t="s">
        <v>344</v>
      </c>
      <c r="C106" s="201"/>
      <c r="D106" s="201" t="s">
        <v>299</v>
      </c>
      <c r="E106" s="202">
        <v>97200</v>
      </c>
    </row>
    <row r="107" spans="1:5" ht="16.5" x14ac:dyDescent="0.3">
      <c r="A107" s="200">
        <v>14</v>
      </c>
      <c r="B107" s="201" t="s">
        <v>345</v>
      </c>
      <c r="C107" s="201"/>
      <c r="D107" s="201" t="s">
        <v>299</v>
      </c>
      <c r="E107" s="202">
        <v>120150</v>
      </c>
    </row>
    <row r="108" spans="1:5" ht="16.5" x14ac:dyDescent="0.3">
      <c r="A108" s="200">
        <v>15</v>
      </c>
      <c r="B108" s="201" t="s">
        <v>346</v>
      </c>
      <c r="C108" s="201"/>
      <c r="D108" s="201" t="s">
        <v>299</v>
      </c>
      <c r="E108" s="202">
        <v>198000</v>
      </c>
    </row>
    <row r="109" spans="1:5" ht="16.5" x14ac:dyDescent="0.3">
      <c r="A109" s="200">
        <v>16</v>
      </c>
      <c r="B109" s="201" t="s">
        <v>347</v>
      </c>
      <c r="C109" s="201"/>
      <c r="D109" s="201" t="s">
        <v>299</v>
      </c>
      <c r="E109" s="202">
        <v>235800</v>
      </c>
    </row>
    <row r="110" spans="1:5" ht="16.5" x14ac:dyDescent="0.3">
      <c r="A110" s="200">
        <v>17</v>
      </c>
      <c r="B110" s="201" t="s">
        <v>348</v>
      </c>
      <c r="C110" s="201"/>
      <c r="D110" s="201" t="s">
        <v>299</v>
      </c>
      <c r="E110" s="202">
        <v>441000</v>
      </c>
    </row>
    <row r="111" spans="1:5" ht="16.5" x14ac:dyDescent="0.3">
      <c r="A111" s="200">
        <v>18</v>
      </c>
      <c r="B111" s="201" t="s">
        <v>349</v>
      </c>
      <c r="C111" s="201"/>
      <c r="D111" s="201" t="s">
        <v>299</v>
      </c>
      <c r="E111" s="202">
        <v>760500</v>
      </c>
    </row>
    <row r="112" spans="1:5" ht="16.5" x14ac:dyDescent="0.3">
      <c r="A112" s="200">
        <v>19</v>
      </c>
      <c r="B112" s="201" t="s">
        <v>350</v>
      </c>
      <c r="C112" s="201"/>
      <c r="D112" s="201" t="s">
        <v>299</v>
      </c>
      <c r="E112" s="202">
        <v>1080000</v>
      </c>
    </row>
    <row r="113" spans="1:5" ht="16.5" x14ac:dyDescent="0.3">
      <c r="A113" s="200">
        <v>20</v>
      </c>
      <c r="B113" s="201" t="s">
        <v>351</v>
      </c>
      <c r="C113" s="201"/>
      <c r="D113" s="201" t="s">
        <v>299</v>
      </c>
      <c r="E113" s="202">
        <v>3060000</v>
      </c>
    </row>
    <row r="114" spans="1:5" ht="16.5" x14ac:dyDescent="0.3">
      <c r="A114" s="200">
        <v>21</v>
      </c>
      <c r="B114" s="201" t="s">
        <v>352</v>
      </c>
      <c r="C114" s="201"/>
      <c r="D114" s="201" t="s">
        <v>299</v>
      </c>
      <c r="E114" s="202">
        <v>3735000</v>
      </c>
    </row>
    <row r="115" spans="1:5" ht="16.5" x14ac:dyDescent="0.3">
      <c r="A115" s="200">
        <v>22</v>
      </c>
      <c r="B115" s="201" t="s">
        <v>353</v>
      </c>
      <c r="C115" s="201"/>
      <c r="D115" s="201" t="s">
        <v>299</v>
      </c>
      <c r="E115" s="202">
        <v>4725000</v>
      </c>
    </row>
    <row r="116" spans="1:5" ht="16.5" x14ac:dyDescent="0.3">
      <c r="A116" s="200">
        <v>23</v>
      </c>
      <c r="B116" s="201" t="s">
        <v>354</v>
      </c>
      <c r="C116" s="201"/>
      <c r="D116" s="201" t="s">
        <v>299</v>
      </c>
      <c r="E116" s="202">
        <v>6255000</v>
      </c>
    </row>
    <row r="117" spans="1:5" ht="16.5" x14ac:dyDescent="0.3">
      <c r="A117" s="200">
        <v>24</v>
      </c>
      <c r="B117" s="201" t="s">
        <v>355</v>
      </c>
      <c r="C117" s="201"/>
      <c r="D117" s="201" t="s">
        <v>299</v>
      </c>
      <c r="E117" s="202">
        <v>8190000</v>
      </c>
    </row>
    <row r="118" spans="1:5" ht="16.5" x14ac:dyDescent="0.3">
      <c r="A118" s="200">
        <v>25</v>
      </c>
      <c r="B118" s="201" t="s">
        <v>356</v>
      </c>
      <c r="C118" s="201"/>
      <c r="D118" s="201" t="s">
        <v>299</v>
      </c>
      <c r="E118" s="202">
        <v>14400</v>
      </c>
    </row>
    <row r="119" spans="1:5" ht="16.5" x14ac:dyDescent="0.3">
      <c r="A119" s="200">
        <v>26</v>
      </c>
      <c r="B119" s="201" t="s">
        <v>357</v>
      </c>
      <c r="C119" s="201"/>
      <c r="D119" s="201" t="s">
        <v>299</v>
      </c>
      <c r="E119" s="202">
        <v>19350</v>
      </c>
    </row>
    <row r="120" spans="1:5" ht="16.5" x14ac:dyDescent="0.3">
      <c r="A120" s="200">
        <v>27</v>
      </c>
      <c r="B120" s="201" t="s">
        <v>358</v>
      </c>
      <c r="C120" s="201"/>
      <c r="D120" s="201" t="s">
        <v>299</v>
      </c>
      <c r="E120" s="202">
        <v>31500</v>
      </c>
    </row>
    <row r="121" spans="1:5" ht="16.5" x14ac:dyDescent="0.3">
      <c r="A121" s="200">
        <v>28</v>
      </c>
      <c r="B121" s="201" t="s">
        <v>359</v>
      </c>
      <c r="C121" s="201"/>
      <c r="D121" s="201" t="s">
        <v>299</v>
      </c>
      <c r="E121" s="202">
        <v>48600</v>
      </c>
    </row>
    <row r="122" spans="1:5" ht="16.5" x14ac:dyDescent="0.3">
      <c r="A122" s="200">
        <v>29</v>
      </c>
      <c r="B122" s="201" t="s">
        <v>360</v>
      </c>
      <c r="C122" s="201"/>
      <c r="D122" s="201" t="s">
        <v>299</v>
      </c>
      <c r="E122" s="202">
        <v>83700</v>
      </c>
    </row>
    <row r="123" spans="1:5" ht="16.5" x14ac:dyDescent="0.3">
      <c r="A123" s="200">
        <v>30</v>
      </c>
      <c r="B123" s="201" t="s">
        <v>361</v>
      </c>
      <c r="C123" s="201"/>
      <c r="D123" s="201" t="s">
        <v>299</v>
      </c>
      <c r="E123" s="202">
        <v>139500</v>
      </c>
    </row>
    <row r="124" spans="1:5" ht="16.5" x14ac:dyDescent="0.3">
      <c r="A124" s="200">
        <v>31</v>
      </c>
      <c r="B124" s="201" t="s">
        <v>362</v>
      </c>
      <c r="C124" s="201"/>
      <c r="D124" s="201" t="s">
        <v>299</v>
      </c>
      <c r="E124" s="202">
        <v>306000</v>
      </c>
    </row>
    <row r="125" spans="1:5" ht="16.5" x14ac:dyDescent="0.3">
      <c r="A125" s="200">
        <v>32</v>
      </c>
      <c r="B125" s="201" t="s">
        <v>363</v>
      </c>
      <c r="C125" s="201"/>
      <c r="D125" s="201" t="s">
        <v>299</v>
      </c>
      <c r="E125" s="202">
        <v>441000</v>
      </c>
    </row>
    <row r="126" spans="1:5" ht="16.5" x14ac:dyDescent="0.3">
      <c r="A126" s="200">
        <v>33</v>
      </c>
      <c r="B126" s="201" t="s">
        <v>364</v>
      </c>
      <c r="C126" s="201"/>
      <c r="D126" s="201" t="s">
        <v>299</v>
      </c>
      <c r="E126" s="202">
        <v>967500</v>
      </c>
    </row>
    <row r="127" spans="1:5" ht="16.5" x14ac:dyDescent="0.3">
      <c r="A127" s="200">
        <v>34</v>
      </c>
      <c r="B127" s="201" t="s">
        <v>365</v>
      </c>
      <c r="C127" s="201"/>
      <c r="D127" s="201" t="s">
        <v>299</v>
      </c>
      <c r="E127" s="202">
        <v>1530000</v>
      </c>
    </row>
    <row r="128" spans="1:5" ht="16.5" x14ac:dyDescent="0.3">
      <c r="A128" s="200">
        <v>35</v>
      </c>
      <c r="B128" s="201" t="s">
        <v>366</v>
      </c>
      <c r="C128" s="201"/>
      <c r="D128" s="201" t="s">
        <v>16</v>
      </c>
      <c r="E128" s="202">
        <v>10631.25</v>
      </c>
    </row>
    <row r="129" spans="1:5" ht="16.5" x14ac:dyDescent="0.3">
      <c r="A129" s="200">
        <v>36</v>
      </c>
      <c r="B129" s="201" t="s">
        <v>367</v>
      </c>
      <c r="C129" s="201"/>
      <c r="D129" s="201" t="s">
        <v>368</v>
      </c>
      <c r="E129" s="202">
        <v>4050</v>
      </c>
    </row>
    <row r="130" spans="1:5" ht="16.5" x14ac:dyDescent="0.3">
      <c r="A130" s="200"/>
      <c r="B130" s="201"/>
      <c r="C130" s="201"/>
      <c r="D130" s="201"/>
      <c r="E130" s="202"/>
    </row>
    <row r="131" spans="1:5" ht="16.5" x14ac:dyDescent="0.3">
      <c r="A131" s="203"/>
      <c r="B131" s="204" t="s">
        <v>369</v>
      </c>
      <c r="C131" s="204"/>
      <c r="D131" s="204"/>
      <c r="E131" s="205"/>
    </row>
    <row r="132" spans="1:5" ht="16.5" x14ac:dyDescent="0.3">
      <c r="A132" s="200">
        <v>1</v>
      </c>
      <c r="B132" s="201" t="s">
        <v>370</v>
      </c>
      <c r="C132" s="201"/>
      <c r="D132" s="201" t="s">
        <v>299</v>
      </c>
      <c r="E132" s="202">
        <v>74700</v>
      </c>
    </row>
    <row r="133" spans="1:5" ht="16.5" x14ac:dyDescent="0.3">
      <c r="A133" s="200">
        <v>2</v>
      </c>
      <c r="B133" s="201" t="s">
        <v>371</v>
      </c>
      <c r="C133" s="201"/>
      <c r="D133" s="201" t="s">
        <v>299</v>
      </c>
      <c r="E133" s="202">
        <v>96750</v>
      </c>
    </row>
    <row r="134" spans="1:5" ht="16.5" x14ac:dyDescent="0.3">
      <c r="A134" s="200">
        <v>3</v>
      </c>
      <c r="B134" s="201" t="s">
        <v>372</v>
      </c>
      <c r="C134" s="201"/>
      <c r="D134" s="201" t="s">
        <v>299</v>
      </c>
      <c r="E134" s="202">
        <v>123750</v>
      </c>
    </row>
    <row r="135" spans="1:5" ht="16.5" x14ac:dyDescent="0.3">
      <c r="A135" s="200">
        <v>4</v>
      </c>
      <c r="B135" s="201" t="s">
        <v>373</v>
      </c>
      <c r="C135" s="201"/>
      <c r="D135" s="201" t="s">
        <v>299</v>
      </c>
      <c r="E135" s="202">
        <v>184500</v>
      </c>
    </row>
    <row r="136" spans="1:5" ht="16.5" x14ac:dyDescent="0.3">
      <c r="A136" s="200">
        <v>5</v>
      </c>
      <c r="B136" s="201" t="s">
        <v>374</v>
      </c>
      <c r="C136" s="201"/>
      <c r="D136" s="201" t="s">
        <v>299</v>
      </c>
      <c r="E136" s="202">
        <v>229500</v>
      </c>
    </row>
    <row r="137" spans="1:5" ht="16.5" x14ac:dyDescent="0.3">
      <c r="A137" s="200">
        <v>6</v>
      </c>
      <c r="B137" s="201" t="s">
        <v>375</v>
      </c>
      <c r="C137" s="201"/>
      <c r="D137" s="201" t="s">
        <v>299</v>
      </c>
      <c r="E137" s="202">
        <v>369000</v>
      </c>
    </row>
    <row r="138" spans="1:5" ht="16.5" x14ac:dyDescent="0.3">
      <c r="A138" s="200">
        <v>7</v>
      </c>
      <c r="B138" s="201" t="s">
        <v>376</v>
      </c>
      <c r="C138" s="201"/>
      <c r="D138" s="201" t="s">
        <v>299</v>
      </c>
      <c r="E138" s="202">
        <v>508500</v>
      </c>
    </row>
    <row r="139" spans="1:5" ht="16.5" x14ac:dyDescent="0.3">
      <c r="A139" s="200">
        <v>8</v>
      </c>
      <c r="B139" s="201" t="s">
        <v>377</v>
      </c>
      <c r="C139" s="201"/>
      <c r="D139" s="201" t="s">
        <v>299</v>
      </c>
      <c r="E139" s="202">
        <v>643500</v>
      </c>
    </row>
    <row r="140" spans="1:5" ht="16.5" x14ac:dyDescent="0.3">
      <c r="A140" s="200">
        <v>9</v>
      </c>
      <c r="B140" s="201" t="s">
        <v>378</v>
      </c>
      <c r="C140" s="201"/>
      <c r="D140" s="201" t="s">
        <v>299</v>
      </c>
      <c r="E140" s="202">
        <v>765000</v>
      </c>
    </row>
    <row r="141" spans="1:5" ht="16.5" x14ac:dyDescent="0.3">
      <c r="A141" s="200">
        <v>10</v>
      </c>
      <c r="B141" s="201" t="s">
        <v>379</v>
      </c>
      <c r="C141" s="201"/>
      <c r="D141" s="201" t="s">
        <v>299</v>
      </c>
      <c r="E141" s="202">
        <v>1732500</v>
      </c>
    </row>
    <row r="142" spans="1:5" ht="16.5" x14ac:dyDescent="0.3">
      <c r="A142" s="200">
        <v>11</v>
      </c>
      <c r="B142" s="201" t="s">
        <v>380</v>
      </c>
      <c r="C142" s="201"/>
      <c r="D142" s="201" t="s">
        <v>299</v>
      </c>
      <c r="E142" s="202">
        <v>103500</v>
      </c>
    </row>
    <row r="143" spans="1:5" ht="16.5" x14ac:dyDescent="0.3">
      <c r="A143" s="200">
        <v>12</v>
      </c>
      <c r="B143" s="201" t="s">
        <v>381</v>
      </c>
      <c r="C143" s="201"/>
      <c r="D143" s="201" t="s">
        <v>299</v>
      </c>
      <c r="E143" s="202">
        <v>126000</v>
      </c>
    </row>
    <row r="144" spans="1:5" ht="16.5" x14ac:dyDescent="0.3">
      <c r="A144" s="200">
        <v>13</v>
      </c>
      <c r="B144" s="201" t="s">
        <v>382</v>
      </c>
      <c r="C144" s="201"/>
      <c r="D144" s="201" t="s">
        <v>299</v>
      </c>
      <c r="E144" s="202">
        <v>202500</v>
      </c>
    </row>
    <row r="145" spans="1:5" ht="16.5" x14ac:dyDescent="0.3">
      <c r="A145" s="200">
        <v>14</v>
      </c>
      <c r="B145" s="201" t="s">
        <v>383</v>
      </c>
      <c r="C145" s="201"/>
      <c r="D145" s="201" t="s">
        <v>299</v>
      </c>
      <c r="E145" s="202">
        <v>301500</v>
      </c>
    </row>
    <row r="146" spans="1:5" ht="16.5" x14ac:dyDescent="0.3">
      <c r="A146" s="200">
        <v>15</v>
      </c>
      <c r="B146" s="201" t="s">
        <v>384</v>
      </c>
      <c r="C146" s="201"/>
      <c r="D146" s="201" t="s">
        <v>299</v>
      </c>
      <c r="E146" s="202">
        <v>400500</v>
      </c>
    </row>
    <row r="147" spans="1:5" ht="16.5" x14ac:dyDescent="0.3">
      <c r="A147" s="200">
        <v>16</v>
      </c>
      <c r="B147" s="201" t="s">
        <v>385</v>
      </c>
      <c r="C147" s="201"/>
      <c r="D147" s="201" t="s">
        <v>299</v>
      </c>
      <c r="E147" s="202">
        <v>666000</v>
      </c>
    </row>
    <row r="148" spans="1:5" ht="16.5" x14ac:dyDescent="0.3">
      <c r="A148" s="200">
        <v>17</v>
      </c>
      <c r="B148" s="201" t="s">
        <v>386</v>
      </c>
      <c r="C148" s="201"/>
      <c r="D148" s="201" t="s">
        <v>299</v>
      </c>
      <c r="E148" s="202">
        <v>1129500</v>
      </c>
    </row>
    <row r="149" spans="1:5" ht="16.5" x14ac:dyDescent="0.3">
      <c r="A149" s="200">
        <v>18</v>
      </c>
      <c r="B149" s="201" t="s">
        <v>387</v>
      </c>
      <c r="C149" s="201"/>
      <c r="D149" s="201" t="s">
        <v>299</v>
      </c>
      <c r="E149" s="202">
        <v>1422000</v>
      </c>
    </row>
    <row r="150" spans="1:5" ht="16.5" x14ac:dyDescent="0.3">
      <c r="A150" s="200">
        <v>19</v>
      </c>
      <c r="B150" s="201" t="s">
        <v>388</v>
      </c>
      <c r="C150" s="201"/>
      <c r="D150" s="201" t="s">
        <v>299</v>
      </c>
      <c r="E150" s="202">
        <v>1665000</v>
      </c>
    </row>
    <row r="151" spans="1:5" ht="16.5" x14ac:dyDescent="0.3">
      <c r="A151" s="200">
        <v>20</v>
      </c>
      <c r="B151" s="201" t="s">
        <v>389</v>
      </c>
      <c r="C151" s="201"/>
      <c r="D151" s="201" t="s">
        <v>299</v>
      </c>
      <c r="E151" s="202">
        <v>2250000</v>
      </c>
    </row>
    <row r="152" spans="1:5" ht="16.5" x14ac:dyDescent="0.3">
      <c r="A152" s="200">
        <v>21</v>
      </c>
      <c r="B152" s="201" t="s">
        <v>390</v>
      </c>
      <c r="C152" s="201"/>
      <c r="D152" s="201" t="s">
        <v>368</v>
      </c>
      <c r="E152" s="202">
        <v>3600</v>
      </c>
    </row>
    <row r="153" spans="1:5" ht="16.5" x14ac:dyDescent="0.3">
      <c r="A153" s="200"/>
      <c r="B153" s="201"/>
      <c r="C153" s="201"/>
      <c r="D153" s="201"/>
      <c r="E153" s="202"/>
    </row>
    <row r="154" spans="1:5" ht="16.5" x14ac:dyDescent="0.3">
      <c r="A154" s="203" t="s">
        <v>239</v>
      </c>
      <c r="B154" s="204" t="s">
        <v>391</v>
      </c>
      <c r="C154" s="204"/>
      <c r="D154" s="204"/>
      <c r="E154" s="205"/>
    </row>
    <row r="155" spans="1:5" ht="16.5" x14ac:dyDescent="0.3">
      <c r="A155" s="200">
        <v>1</v>
      </c>
      <c r="B155" s="201" t="s">
        <v>392</v>
      </c>
      <c r="C155" s="201"/>
      <c r="D155" s="201" t="s">
        <v>38</v>
      </c>
      <c r="E155" s="202">
        <v>8109.9000000000005</v>
      </c>
    </row>
    <row r="156" spans="1:5" ht="16.5" x14ac:dyDescent="0.3">
      <c r="A156" s="200">
        <v>2</v>
      </c>
      <c r="B156" s="201" t="s">
        <v>393</v>
      </c>
      <c r="C156" s="201"/>
      <c r="D156" s="201" t="s">
        <v>38</v>
      </c>
      <c r="E156" s="202">
        <v>8826.3000000000011</v>
      </c>
    </row>
    <row r="157" spans="1:5" ht="16.5" x14ac:dyDescent="0.3">
      <c r="A157" s="200">
        <v>3</v>
      </c>
      <c r="B157" s="201" t="s">
        <v>394</v>
      </c>
      <c r="C157" s="201"/>
      <c r="D157" s="201" t="s">
        <v>38</v>
      </c>
      <c r="E157" s="202">
        <v>9072</v>
      </c>
    </row>
    <row r="158" spans="1:5" ht="16.5" x14ac:dyDescent="0.3">
      <c r="A158" s="200">
        <v>4</v>
      </c>
      <c r="B158" s="201" t="s">
        <v>395</v>
      </c>
      <c r="C158" s="201"/>
      <c r="D158" s="201" t="s">
        <v>38</v>
      </c>
      <c r="E158" s="202">
        <v>9783.9</v>
      </c>
    </row>
    <row r="159" spans="1:5" ht="16.5" x14ac:dyDescent="0.3">
      <c r="A159" s="200">
        <v>5</v>
      </c>
      <c r="B159" s="201" t="s">
        <v>396</v>
      </c>
      <c r="C159" s="201"/>
      <c r="D159" s="201" t="s">
        <v>38</v>
      </c>
      <c r="E159" s="202">
        <v>8249.4</v>
      </c>
    </row>
    <row r="160" spans="1:5" ht="16.5" x14ac:dyDescent="0.3">
      <c r="A160" s="200">
        <v>6</v>
      </c>
      <c r="B160" s="201" t="s">
        <v>397</v>
      </c>
      <c r="C160" s="201"/>
      <c r="D160" s="201" t="s">
        <v>38</v>
      </c>
      <c r="E160" s="202">
        <v>12150</v>
      </c>
    </row>
    <row r="161" spans="1:5" ht="16.5" x14ac:dyDescent="0.3">
      <c r="A161" s="200">
        <v>7</v>
      </c>
      <c r="B161" s="201" t="s">
        <v>398</v>
      </c>
      <c r="C161" s="201"/>
      <c r="D161" s="201" t="s">
        <v>38</v>
      </c>
      <c r="E161" s="202">
        <v>12150</v>
      </c>
    </row>
    <row r="162" spans="1:5" ht="16.5" x14ac:dyDescent="0.3">
      <c r="A162" s="200">
        <v>8</v>
      </c>
      <c r="B162" s="201" t="s">
        <v>399</v>
      </c>
      <c r="C162" s="201"/>
      <c r="D162" s="201" t="s">
        <v>38</v>
      </c>
      <c r="E162" s="202">
        <v>13950</v>
      </c>
    </row>
    <row r="163" spans="1:5" ht="16.5" x14ac:dyDescent="0.3">
      <c r="A163" s="200">
        <v>9</v>
      </c>
      <c r="B163" s="201" t="s">
        <v>400</v>
      </c>
      <c r="C163" s="201"/>
      <c r="D163" s="201" t="s">
        <v>38</v>
      </c>
      <c r="E163" s="202">
        <v>11025</v>
      </c>
    </row>
    <row r="164" spans="1:5" ht="16.5" x14ac:dyDescent="0.3">
      <c r="A164" s="200">
        <v>10</v>
      </c>
      <c r="B164" s="201" t="s">
        <v>401</v>
      </c>
      <c r="C164" s="201"/>
      <c r="D164" s="201" t="s">
        <v>38</v>
      </c>
      <c r="E164" s="202">
        <v>13050</v>
      </c>
    </row>
    <row r="165" spans="1:5" ht="16.5" x14ac:dyDescent="0.3">
      <c r="A165" s="200">
        <v>11</v>
      </c>
      <c r="B165" s="201" t="s">
        <v>402</v>
      </c>
      <c r="C165" s="201"/>
      <c r="D165" s="201" t="s">
        <v>38</v>
      </c>
      <c r="E165" s="202">
        <v>79200</v>
      </c>
    </row>
    <row r="166" spans="1:5" ht="16.5" x14ac:dyDescent="0.3">
      <c r="A166" s="200">
        <v>12</v>
      </c>
      <c r="B166" s="201" t="s">
        <v>403</v>
      </c>
      <c r="C166" s="201"/>
      <c r="D166" s="201" t="s">
        <v>38</v>
      </c>
      <c r="E166" s="202">
        <v>11250</v>
      </c>
    </row>
    <row r="167" spans="1:5" ht="16.5" x14ac:dyDescent="0.3">
      <c r="A167" s="200">
        <v>13</v>
      </c>
      <c r="B167" s="201" t="s">
        <v>404</v>
      </c>
      <c r="C167" s="201"/>
      <c r="D167" s="201" t="s">
        <v>38</v>
      </c>
      <c r="E167" s="202">
        <v>11250</v>
      </c>
    </row>
    <row r="168" spans="1:5" ht="16.5" x14ac:dyDescent="0.3">
      <c r="A168" s="200">
        <v>14</v>
      </c>
      <c r="B168" s="201" t="s">
        <v>405</v>
      </c>
      <c r="C168" s="201"/>
      <c r="D168" s="201" t="s">
        <v>38</v>
      </c>
      <c r="E168" s="202">
        <v>11250</v>
      </c>
    </row>
    <row r="169" spans="1:5" ht="16.5" x14ac:dyDescent="0.3">
      <c r="A169" s="200">
        <v>15</v>
      </c>
      <c r="B169" s="201" t="s">
        <v>406</v>
      </c>
      <c r="C169" s="201"/>
      <c r="D169" s="201" t="s">
        <v>38</v>
      </c>
      <c r="E169" s="202">
        <v>13050</v>
      </c>
    </row>
    <row r="170" spans="1:5" ht="16.5" x14ac:dyDescent="0.3">
      <c r="A170" s="200">
        <v>16</v>
      </c>
      <c r="B170" s="201" t="s">
        <v>234</v>
      </c>
      <c r="C170" s="201"/>
      <c r="D170" s="201" t="s">
        <v>38</v>
      </c>
      <c r="E170" s="202">
        <v>24000</v>
      </c>
    </row>
    <row r="171" spans="1:5" ht="16.5" x14ac:dyDescent="0.3">
      <c r="A171" s="200">
        <v>17</v>
      </c>
      <c r="B171" s="201" t="s">
        <v>407</v>
      </c>
      <c r="C171" s="201"/>
      <c r="D171" s="201" t="s">
        <v>38</v>
      </c>
      <c r="E171" s="202">
        <v>18000</v>
      </c>
    </row>
    <row r="172" spans="1:5" ht="16.5" x14ac:dyDescent="0.3">
      <c r="A172" s="200">
        <v>18</v>
      </c>
      <c r="B172" s="201" t="s">
        <v>408</v>
      </c>
      <c r="C172" s="201"/>
      <c r="D172" s="201" t="s">
        <v>38</v>
      </c>
      <c r="E172" s="202">
        <v>20250</v>
      </c>
    </row>
    <row r="173" spans="1:5" ht="16.5" x14ac:dyDescent="0.3">
      <c r="A173" s="200">
        <v>19</v>
      </c>
      <c r="B173" s="201" t="s">
        <v>409</v>
      </c>
      <c r="C173" s="201"/>
      <c r="D173" s="201" t="s">
        <v>38</v>
      </c>
      <c r="E173" s="202">
        <v>19350</v>
      </c>
    </row>
    <row r="174" spans="1:5" ht="16.5" x14ac:dyDescent="0.3">
      <c r="A174" s="200">
        <v>20</v>
      </c>
      <c r="B174" s="201" t="s">
        <v>410</v>
      </c>
      <c r="C174" s="201"/>
      <c r="D174" s="201" t="s">
        <v>38</v>
      </c>
      <c r="E174" s="202">
        <v>19350</v>
      </c>
    </row>
    <row r="175" spans="1:5" ht="16.5" x14ac:dyDescent="0.3">
      <c r="A175" s="200">
        <v>21</v>
      </c>
      <c r="B175" s="201" t="s">
        <v>411</v>
      </c>
      <c r="C175" s="201"/>
      <c r="D175" s="201" t="s">
        <v>38</v>
      </c>
      <c r="E175" s="202">
        <v>65250</v>
      </c>
    </row>
    <row r="176" spans="1:5" ht="16.5" x14ac:dyDescent="0.3">
      <c r="A176" s="200">
        <v>22</v>
      </c>
      <c r="B176" s="201" t="s">
        <v>412</v>
      </c>
      <c r="C176" s="201" t="s">
        <v>239</v>
      </c>
      <c r="D176" s="201" t="s">
        <v>20</v>
      </c>
      <c r="E176" s="202">
        <v>18000</v>
      </c>
    </row>
    <row r="177" spans="1:5" ht="16.5" x14ac:dyDescent="0.3">
      <c r="A177" s="200">
        <v>23</v>
      </c>
      <c r="B177" s="201" t="s">
        <v>413</v>
      </c>
      <c r="C177" s="201" t="s">
        <v>239</v>
      </c>
      <c r="D177" s="201" t="s">
        <v>16</v>
      </c>
      <c r="E177" s="202">
        <v>13950</v>
      </c>
    </row>
    <row r="178" spans="1:5" ht="16.5" x14ac:dyDescent="0.3">
      <c r="A178" s="200">
        <v>24</v>
      </c>
      <c r="B178" s="201" t="s">
        <v>414</v>
      </c>
      <c r="C178" s="201" t="s">
        <v>239</v>
      </c>
      <c r="D178" s="201" t="s">
        <v>269</v>
      </c>
      <c r="E178" s="202">
        <v>540</v>
      </c>
    </row>
    <row r="179" spans="1:5" ht="16.5" x14ac:dyDescent="0.3">
      <c r="A179" s="200">
        <v>25</v>
      </c>
      <c r="B179" s="201" t="s">
        <v>415</v>
      </c>
      <c r="C179" s="201" t="s">
        <v>239</v>
      </c>
      <c r="D179" s="201" t="s">
        <v>16</v>
      </c>
      <c r="E179" s="202">
        <v>4500</v>
      </c>
    </row>
    <row r="180" spans="1:5" ht="16.5" x14ac:dyDescent="0.3">
      <c r="A180" s="200">
        <v>26</v>
      </c>
      <c r="B180" s="201" t="s">
        <v>416</v>
      </c>
      <c r="C180" s="201" t="s">
        <v>239</v>
      </c>
      <c r="D180" s="201" t="s">
        <v>38</v>
      </c>
      <c r="E180" s="202">
        <v>11250</v>
      </c>
    </row>
    <row r="181" spans="1:5" ht="16.5" x14ac:dyDescent="0.3">
      <c r="A181" s="200">
        <v>27</v>
      </c>
      <c r="B181" s="201" t="s">
        <v>417</v>
      </c>
      <c r="C181" s="201" t="s">
        <v>239</v>
      </c>
      <c r="D181" s="201" t="s">
        <v>14</v>
      </c>
      <c r="E181" s="202">
        <v>13500</v>
      </c>
    </row>
    <row r="182" spans="1:5" ht="16.5" x14ac:dyDescent="0.3">
      <c r="A182" s="200">
        <v>28</v>
      </c>
      <c r="B182" s="201" t="s">
        <v>418</v>
      </c>
      <c r="C182" s="201" t="s">
        <v>239</v>
      </c>
      <c r="D182" s="201" t="s">
        <v>16</v>
      </c>
      <c r="E182" s="202">
        <v>22500</v>
      </c>
    </row>
    <row r="183" spans="1:5" ht="16.5" x14ac:dyDescent="0.3">
      <c r="A183" s="200"/>
      <c r="B183" s="201"/>
      <c r="C183" s="201"/>
      <c r="D183" s="201"/>
      <c r="E183" s="202"/>
    </row>
    <row r="184" spans="1:5" ht="16.5" x14ac:dyDescent="0.3">
      <c r="A184" s="203" t="s">
        <v>239</v>
      </c>
      <c r="B184" s="204" t="s">
        <v>419</v>
      </c>
      <c r="C184" s="204"/>
      <c r="D184" s="204"/>
      <c r="E184" s="205"/>
    </row>
    <row r="185" spans="1:5" ht="16.5" x14ac:dyDescent="0.3">
      <c r="A185" s="200">
        <v>1</v>
      </c>
      <c r="B185" s="201" t="s">
        <v>420</v>
      </c>
      <c r="C185" s="201" t="s">
        <v>239</v>
      </c>
      <c r="D185" s="201" t="s">
        <v>280</v>
      </c>
      <c r="E185" s="202">
        <v>58500</v>
      </c>
    </row>
    <row r="186" spans="1:5" ht="16.5" x14ac:dyDescent="0.3">
      <c r="A186" s="200">
        <v>2</v>
      </c>
      <c r="B186" s="201" t="s">
        <v>421</v>
      </c>
      <c r="C186" s="201" t="s">
        <v>239</v>
      </c>
      <c r="D186" s="201" t="s">
        <v>280</v>
      </c>
      <c r="E186" s="202">
        <v>64800</v>
      </c>
    </row>
    <row r="187" spans="1:5" ht="16.5" x14ac:dyDescent="0.3">
      <c r="A187" s="200">
        <v>3</v>
      </c>
      <c r="B187" s="201" t="s">
        <v>422</v>
      </c>
      <c r="C187" s="201" t="s">
        <v>239</v>
      </c>
      <c r="D187" s="201" t="s">
        <v>280</v>
      </c>
      <c r="E187" s="202">
        <v>69952.5</v>
      </c>
    </row>
    <row r="188" spans="1:5" ht="16.5" x14ac:dyDescent="0.3">
      <c r="A188" s="200">
        <v>4</v>
      </c>
      <c r="B188" s="201" t="s">
        <v>423</v>
      </c>
      <c r="C188" s="201" t="s">
        <v>239</v>
      </c>
      <c r="D188" s="201" t="s">
        <v>280</v>
      </c>
      <c r="E188" s="202">
        <v>84352.5</v>
      </c>
    </row>
    <row r="189" spans="1:5" ht="16.5" x14ac:dyDescent="0.3">
      <c r="A189" s="200">
        <v>5</v>
      </c>
      <c r="B189" s="201" t="s">
        <v>424</v>
      </c>
      <c r="C189" s="201" t="s">
        <v>239</v>
      </c>
      <c r="D189" s="201" t="s">
        <v>280</v>
      </c>
      <c r="E189" s="202">
        <v>95895</v>
      </c>
    </row>
    <row r="190" spans="1:5" ht="16.5" x14ac:dyDescent="0.3">
      <c r="A190" s="200">
        <v>6</v>
      </c>
      <c r="B190" s="201" t="s">
        <v>425</v>
      </c>
      <c r="C190" s="201" t="s">
        <v>239</v>
      </c>
      <c r="D190" s="201" t="s">
        <v>280</v>
      </c>
      <c r="E190" s="202">
        <v>110295</v>
      </c>
    </row>
    <row r="191" spans="1:5" ht="16.5" x14ac:dyDescent="0.3">
      <c r="A191" s="200">
        <v>7</v>
      </c>
      <c r="B191" s="201" t="s">
        <v>426</v>
      </c>
      <c r="C191" s="201" t="s">
        <v>239</v>
      </c>
      <c r="D191" s="201" t="s">
        <v>280</v>
      </c>
      <c r="E191" s="202">
        <v>111150</v>
      </c>
    </row>
    <row r="192" spans="1:5" ht="16.5" x14ac:dyDescent="0.3">
      <c r="A192" s="200">
        <v>8</v>
      </c>
      <c r="B192" s="201" t="s">
        <v>427</v>
      </c>
      <c r="C192" s="201" t="s">
        <v>239</v>
      </c>
      <c r="D192" s="201" t="s">
        <v>280</v>
      </c>
      <c r="E192" s="202">
        <v>125100</v>
      </c>
    </row>
    <row r="193" spans="1:5" ht="16.5" x14ac:dyDescent="0.3">
      <c r="A193" s="200">
        <v>9</v>
      </c>
      <c r="B193" s="201" t="s">
        <v>428</v>
      </c>
      <c r="C193" s="201" t="s">
        <v>239</v>
      </c>
      <c r="D193" s="201" t="s">
        <v>269</v>
      </c>
      <c r="E193" s="202">
        <v>15525</v>
      </c>
    </row>
    <row r="194" spans="1:5" ht="16.5" x14ac:dyDescent="0.3">
      <c r="A194" s="200">
        <v>10</v>
      </c>
      <c r="B194" s="201" t="s">
        <v>429</v>
      </c>
      <c r="C194" s="201" t="s">
        <v>239</v>
      </c>
      <c r="D194" s="201" t="s">
        <v>269</v>
      </c>
      <c r="E194" s="202">
        <v>35100</v>
      </c>
    </row>
    <row r="195" spans="1:5" ht="16.5" x14ac:dyDescent="0.3">
      <c r="A195" s="200">
        <v>11</v>
      </c>
      <c r="B195" s="201" t="s">
        <v>430</v>
      </c>
      <c r="C195" s="201" t="s">
        <v>239</v>
      </c>
      <c r="D195" s="201" t="s">
        <v>269</v>
      </c>
      <c r="E195" s="202">
        <v>50400</v>
      </c>
    </row>
    <row r="196" spans="1:5" ht="16.5" x14ac:dyDescent="0.3">
      <c r="A196" s="200"/>
      <c r="B196" s="201"/>
      <c r="C196" s="201"/>
      <c r="D196" s="201"/>
      <c r="E196" s="202"/>
    </row>
    <row r="197" spans="1:5" ht="16.5" x14ac:dyDescent="0.3">
      <c r="A197" s="203" t="s">
        <v>239</v>
      </c>
      <c r="B197" s="204" t="s">
        <v>431</v>
      </c>
      <c r="C197" s="204"/>
      <c r="D197" s="204"/>
      <c r="E197" s="205"/>
    </row>
    <row r="198" spans="1:5" ht="16.5" x14ac:dyDescent="0.3">
      <c r="A198" s="200">
        <v>1</v>
      </c>
      <c r="B198" s="201" t="s">
        <v>432</v>
      </c>
      <c r="C198" s="201" t="s">
        <v>239</v>
      </c>
      <c r="D198" s="201" t="s">
        <v>269</v>
      </c>
      <c r="E198" s="202">
        <v>37350</v>
      </c>
    </row>
    <row r="199" spans="1:5" ht="16.5" x14ac:dyDescent="0.3">
      <c r="A199" s="200">
        <v>2</v>
      </c>
      <c r="B199" s="201" t="s">
        <v>433</v>
      </c>
      <c r="C199" s="201" t="s">
        <v>239</v>
      </c>
      <c r="D199" s="201" t="s">
        <v>269</v>
      </c>
      <c r="E199" s="202">
        <v>52875</v>
      </c>
    </row>
    <row r="200" spans="1:5" ht="16.5" x14ac:dyDescent="0.3">
      <c r="A200" s="200">
        <v>3</v>
      </c>
      <c r="B200" s="201" t="s">
        <v>434</v>
      </c>
      <c r="C200" s="201" t="s">
        <v>239</v>
      </c>
      <c r="D200" s="201" t="s">
        <v>269</v>
      </c>
      <c r="E200" s="202">
        <v>74250</v>
      </c>
    </row>
    <row r="201" spans="1:5" ht="16.5" x14ac:dyDescent="0.3">
      <c r="A201" s="200">
        <v>4</v>
      </c>
      <c r="B201" s="201" t="s">
        <v>435</v>
      </c>
      <c r="C201" s="201" t="s">
        <v>239</v>
      </c>
      <c r="D201" s="201" t="s">
        <v>269</v>
      </c>
      <c r="E201" s="202">
        <v>83250</v>
      </c>
    </row>
    <row r="202" spans="1:5" ht="16.5" x14ac:dyDescent="0.3">
      <c r="A202" s="200">
        <v>5</v>
      </c>
      <c r="B202" s="201" t="s">
        <v>436</v>
      </c>
      <c r="C202" s="201" t="s">
        <v>239</v>
      </c>
      <c r="D202" s="201" t="s">
        <v>269</v>
      </c>
      <c r="E202" s="202">
        <v>110250</v>
      </c>
    </row>
    <row r="203" spans="1:5" ht="16.5" x14ac:dyDescent="0.3">
      <c r="A203" s="200">
        <v>6</v>
      </c>
      <c r="B203" s="201" t="s">
        <v>437</v>
      </c>
      <c r="C203" s="201" t="s">
        <v>239</v>
      </c>
      <c r="D203" s="201" t="s">
        <v>269</v>
      </c>
      <c r="E203" s="202">
        <v>175500</v>
      </c>
    </row>
    <row r="204" spans="1:5" ht="16.5" x14ac:dyDescent="0.3">
      <c r="A204" s="200">
        <v>7</v>
      </c>
      <c r="B204" s="201" t="s">
        <v>438</v>
      </c>
      <c r="C204" s="201" t="s">
        <v>239</v>
      </c>
      <c r="D204" s="201" t="s">
        <v>269</v>
      </c>
      <c r="E204" s="202">
        <v>234000</v>
      </c>
    </row>
    <row r="205" spans="1:5" ht="16.5" x14ac:dyDescent="0.3">
      <c r="A205" s="200">
        <v>8</v>
      </c>
      <c r="B205" s="201" t="s">
        <v>439</v>
      </c>
      <c r="C205" s="201" t="s">
        <v>239</v>
      </c>
      <c r="D205" s="201" t="s">
        <v>269</v>
      </c>
      <c r="E205" s="202">
        <v>393750</v>
      </c>
    </row>
    <row r="206" spans="1:5" ht="16.5" x14ac:dyDescent="0.3">
      <c r="A206" s="200">
        <v>9</v>
      </c>
      <c r="B206" s="201" t="s">
        <v>440</v>
      </c>
      <c r="C206" s="201" t="s">
        <v>239</v>
      </c>
      <c r="D206" s="201" t="s">
        <v>269</v>
      </c>
      <c r="E206" s="202">
        <v>37350</v>
      </c>
    </row>
    <row r="207" spans="1:5" ht="16.5" x14ac:dyDescent="0.3">
      <c r="A207" s="200">
        <v>10</v>
      </c>
      <c r="B207" s="201" t="s">
        <v>441</v>
      </c>
      <c r="C207" s="201" t="s">
        <v>239</v>
      </c>
      <c r="D207" s="201" t="s">
        <v>269</v>
      </c>
      <c r="E207" s="202">
        <v>52875</v>
      </c>
    </row>
    <row r="208" spans="1:5" ht="16.5" x14ac:dyDescent="0.3">
      <c r="A208" s="200">
        <v>11</v>
      </c>
      <c r="B208" s="201" t="s">
        <v>442</v>
      </c>
      <c r="C208" s="201" t="s">
        <v>239</v>
      </c>
      <c r="D208" s="201" t="s">
        <v>269</v>
      </c>
      <c r="E208" s="202">
        <v>74250</v>
      </c>
    </row>
    <row r="209" spans="1:5" ht="16.5" x14ac:dyDescent="0.3">
      <c r="A209" s="200">
        <v>12</v>
      </c>
      <c r="B209" s="201" t="s">
        <v>443</v>
      </c>
      <c r="C209" s="201" t="s">
        <v>239</v>
      </c>
      <c r="D209" s="201" t="s">
        <v>269</v>
      </c>
      <c r="E209" s="202">
        <v>110250</v>
      </c>
    </row>
    <row r="210" spans="1:5" ht="16.5" x14ac:dyDescent="0.3">
      <c r="A210" s="200">
        <v>13</v>
      </c>
      <c r="B210" s="201" t="s">
        <v>444</v>
      </c>
      <c r="C210" s="201" t="s">
        <v>239</v>
      </c>
      <c r="D210" s="201" t="s">
        <v>269</v>
      </c>
      <c r="E210" s="202">
        <v>234000</v>
      </c>
    </row>
    <row r="211" spans="1:5" ht="16.5" x14ac:dyDescent="0.3">
      <c r="A211" s="200">
        <v>14</v>
      </c>
      <c r="B211" s="201" t="s">
        <v>445</v>
      </c>
      <c r="C211" s="201" t="s">
        <v>239</v>
      </c>
      <c r="D211" s="201" t="s">
        <v>46</v>
      </c>
      <c r="E211" s="202">
        <v>292500</v>
      </c>
    </row>
    <row r="212" spans="1:5" ht="16.5" x14ac:dyDescent="0.3">
      <c r="A212" s="200">
        <v>15</v>
      </c>
      <c r="B212" s="201" t="s">
        <v>446</v>
      </c>
      <c r="C212" s="201" t="s">
        <v>239</v>
      </c>
      <c r="D212" s="201" t="s">
        <v>46</v>
      </c>
      <c r="E212" s="202">
        <v>414180</v>
      </c>
    </row>
    <row r="213" spans="1:5" ht="16.5" x14ac:dyDescent="0.3">
      <c r="A213" s="200">
        <v>16</v>
      </c>
      <c r="B213" s="201" t="s">
        <v>447</v>
      </c>
      <c r="C213" s="201" t="s">
        <v>239</v>
      </c>
      <c r="D213" s="201" t="s">
        <v>46</v>
      </c>
      <c r="E213" s="202">
        <v>577980</v>
      </c>
    </row>
    <row r="214" spans="1:5" ht="16.5" x14ac:dyDescent="0.3">
      <c r="A214" s="200">
        <v>17</v>
      </c>
      <c r="B214" s="201" t="s">
        <v>448</v>
      </c>
      <c r="C214" s="201" t="s">
        <v>239</v>
      </c>
      <c r="D214" s="201" t="s">
        <v>46</v>
      </c>
      <c r="E214" s="202">
        <v>858780</v>
      </c>
    </row>
    <row r="215" spans="1:5" ht="16.5" x14ac:dyDescent="0.3">
      <c r="A215" s="200">
        <v>18</v>
      </c>
      <c r="B215" s="201" t="s">
        <v>449</v>
      </c>
      <c r="C215" s="201" t="s">
        <v>239</v>
      </c>
      <c r="D215" s="201" t="s">
        <v>46</v>
      </c>
      <c r="E215" s="202">
        <v>1020240</v>
      </c>
    </row>
    <row r="216" spans="1:5" ht="16.5" x14ac:dyDescent="0.3">
      <c r="A216" s="200">
        <v>19</v>
      </c>
      <c r="B216" s="201" t="s">
        <v>450</v>
      </c>
      <c r="C216" s="201" t="s">
        <v>239</v>
      </c>
      <c r="D216" s="201" t="s">
        <v>46</v>
      </c>
      <c r="E216" s="202">
        <v>1537380</v>
      </c>
    </row>
    <row r="217" spans="1:5" ht="16.5" x14ac:dyDescent="0.3">
      <c r="A217" s="200">
        <v>20</v>
      </c>
      <c r="B217" s="201" t="s">
        <v>451</v>
      </c>
      <c r="C217" s="201" t="s">
        <v>239</v>
      </c>
      <c r="D217" s="201" t="s">
        <v>46</v>
      </c>
      <c r="E217" s="202">
        <v>2630160</v>
      </c>
    </row>
    <row r="218" spans="1:5" ht="16.5" x14ac:dyDescent="0.3">
      <c r="A218" s="200">
        <v>21</v>
      </c>
      <c r="B218" s="201" t="s">
        <v>452</v>
      </c>
      <c r="C218" s="201" t="s">
        <v>239</v>
      </c>
      <c r="D218" s="201" t="s">
        <v>46</v>
      </c>
      <c r="E218" s="202">
        <v>3811860</v>
      </c>
    </row>
    <row r="219" spans="1:5" ht="16.5" x14ac:dyDescent="0.3">
      <c r="A219" s="200">
        <v>22</v>
      </c>
      <c r="B219" s="201" t="s">
        <v>453</v>
      </c>
      <c r="C219" s="201" t="s">
        <v>239</v>
      </c>
      <c r="D219" s="201" t="s">
        <v>46</v>
      </c>
      <c r="E219" s="202">
        <v>4649580</v>
      </c>
    </row>
    <row r="220" spans="1:5" ht="16.5" x14ac:dyDescent="0.3">
      <c r="A220" s="200">
        <v>23</v>
      </c>
      <c r="B220" s="201" t="s">
        <v>454</v>
      </c>
      <c r="C220" s="201" t="s">
        <v>239</v>
      </c>
      <c r="D220" s="201" t="s">
        <v>46</v>
      </c>
      <c r="E220" s="202">
        <v>40500</v>
      </c>
    </row>
    <row r="221" spans="1:5" ht="16.5" x14ac:dyDescent="0.3">
      <c r="A221" s="200">
        <v>24</v>
      </c>
      <c r="B221" s="201" t="s">
        <v>455</v>
      </c>
      <c r="C221" s="201" t="s">
        <v>239</v>
      </c>
      <c r="D221" s="201" t="s">
        <v>46</v>
      </c>
      <c r="E221" s="202">
        <v>105300</v>
      </c>
    </row>
    <row r="222" spans="1:5" ht="16.5" x14ac:dyDescent="0.3">
      <c r="A222" s="200">
        <v>25</v>
      </c>
      <c r="B222" s="201" t="s">
        <v>456</v>
      </c>
      <c r="C222" s="201" t="s">
        <v>239</v>
      </c>
      <c r="D222" s="201" t="s">
        <v>46</v>
      </c>
      <c r="E222" s="202">
        <v>161460</v>
      </c>
    </row>
    <row r="223" spans="1:5" ht="16.5" x14ac:dyDescent="0.3">
      <c r="A223" s="200">
        <v>26</v>
      </c>
      <c r="B223" s="201" t="s">
        <v>457</v>
      </c>
      <c r="C223" s="201" t="s">
        <v>239</v>
      </c>
      <c r="D223" s="201" t="s">
        <v>46</v>
      </c>
      <c r="E223" s="202">
        <v>205920</v>
      </c>
    </row>
    <row r="224" spans="1:5" ht="16.5" x14ac:dyDescent="0.3">
      <c r="A224" s="200">
        <v>27</v>
      </c>
      <c r="B224" s="201" t="s">
        <v>458</v>
      </c>
      <c r="C224" s="201" t="s">
        <v>239</v>
      </c>
      <c r="D224" s="201" t="s">
        <v>46</v>
      </c>
      <c r="E224" s="202">
        <v>247500</v>
      </c>
    </row>
    <row r="225" spans="1:5" ht="16.5" x14ac:dyDescent="0.3">
      <c r="A225" s="200">
        <v>28</v>
      </c>
      <c r="B225" s="201" t="s">
        <v>459</v>
      </c>
      <c r="C225" s="201"/>
      <c r="D225" s="201" t="s">
        <v>46</v>
      </c>
      <c r="E225" s="202">
        <v>315900</v>
      </c>
    </row>
    <row r="226" spans="1:5" ht="16.5" x14ac:dyDescent="0.3">
      <c r="A226" s="200">
        <v>29</v>
      </c>
      <c r="B226" s="201" t="s">
        <v>460</v>
      </c>
      <c r="C226" s="201"/>
      <c r="D226" s="201" t="s">
        <v>46</v>
      </c>
      <c r="E226" s="202">
        <v>486000</v>
      </c>
    </row>
    <row r="227" spans="1:5" ht="16.5" x14ac:dyDescent="0.3">
      <c r="A227" s="200">
        <v>30</v>
      </c>
      <c r="B227" s="201" t="s">
        <v>461</v>
      </c>
      <c r="C227" s="201" t="s">
        <v>239</v>
      </c>
      <c r="D227" s="201" t="s">
        <v>46</v>
      </c>
      <c r="E227" s="202">
        <v>535500</v>
      </c>
    </row>
    <row r="228" spans="1:5" ht="16.5" x14ac:dyDescent="0.3">
      <c r="A228" s="200">
        <v>31</v>
      </c>
      <c r="B228" s="201" t="s">
        <v>462</v>
      </c>
      <c r="C228" s="201" t="s">
        <v>239</v>
      </c>
      <c r="D228" s="201" t="s">
        <v>46</v>
      </c>
      <c r="E228" s="202">
        <v>612900</v>
      </c>
    </row>
    <row r="229" spans="1:5" ht="16.5" x14ac:dyDescent="0.3">
      <c r="A229" s="200">
        <v>32</v>
      </c>
      <c r="B229" s="201" t="s">
        <v>463</v>
      </c>
      <c r="C229" s="201" t="s">
        <v>239</v>
      </c>
      <c r="D229" s="201" t="s">
        <v>46</v>
      </c>
      <c r="E229" s="202">
        <v>723060</v>
      </c>
    </row>
    <row r="230" spans="1:5" ht="16.5" x14ac:dyDescent="0.3">
      <c r="A230" s="200">
        <v>33</v>
      </c>
      <c r="B230" s="201" t="s">
        <v>464</v>
      </c>
      <c r="C230" s="201" t="s">
        <v>239</v>
      </c>
      <c r="D230" s="201" t="s">
        <v>368</v>
      </c>
      <c r="E230" s="202">
        <v>3330000</v>
      </c>
    </row>
    <row r="231" spans="1:5" ht="16.5" x14ac:dyDescent="0.3">
      <c r="A231" s="200">
        <v>34</v>
      </c>
      <c r="B231" s="201" t="s">
        <v>465</v>
      </c>
      <c r="C231" s="201" t="s">
        <v>239</v>
      </c>
      <c r="D231" s="201" t="s">
        <v>368</v>
      </c>
      <c r="E231" s="202">
        <v>3150000</v>
      </c>
    </row>
    <row r="232" spans="1:5" ht="16.5" x14ac:dyDescent="0.3">
      <c r="A232" s="200">
        <v>35</v>
      </c>
      <c r="B232" s="201" t="s">
        <v>466</v>
      </c>
      <c r="C232" s="201" t="s">
        <v>239</v>
      </c>
      <c r="D232" s="201" t="s">
        <v>368</v>
      </c>
      <c r="E232" s="202">
        <v>2880000</v>
      </c>
    </row>
    <row r="233" spans="1:5" ht="16.5" x14ac:dyDescent="0.3">
      <c r="A233" s="200">
        <v>36</v>
      </c>
      <c r="B233" s="201" t="s">
        <v>467</v>
      </c>
      <c r="C233" s="201" t="s">
        <v>239</v>
      </c>
      <c r="D233" s="201" t="s">
        <v>368</v>
      </c>
      <c r="E233" s="202">
        <v>2520000</v>
      </c>
    </row>
    <row r="234" spans="1:5" ht="16.5" x14ac:dyDescent="0.3">
      <c r="A234" s="200">
        <v>37</v>
      </c>
      <c r="B234" s="201" t="s">
        <v>468</v>
      </c>
      <c r="C234" s="201" t="s">
        <v>239</v>
      </c>
      <c r="D234" s="201" t="s">
        <v>368</v>
      </c>
      <c r="E234" s="202">
        <v>2385000</v>
      </c>
    </row>
    <row r="235" spans="1:5" ht="16.5" x14ac:dyDescent="0.3">
      <c r="A235" s="200">
        <v>38</v>
      </c>
      <c r="B235" s="201" t="s">
        <v>469</v>
      </c>
      <c r="C235" s="201" t="s">
        <v>239</v>
      </c>
      <c r="D235" s="201" t="s">
        <v>368</v>
      </c>
      <c r="E235" s="202">
        <v>3150000</v>
      </c>
    </row>
    <row r="236" spans="1:5" ht="16.5" x14ac:dyDescent="0.3">
      <c r="A236" s="200">
        <v>39</v>
      </c>
      <c r="B236" s="201" t="s">
        <v>470</v>
      </c>
      <c r="C236" s="201" t="s">
        <v>239</v>
      </c>
      <c r="D236" s="201" t="s">
        <v>368</v>
      </c>
      <c r="E236" s="202">
        <v>3060000</v>
      </c>
    </row>
    <row r="237" spans="1:5" ht="16.5" x14ac:dyDescent="0.3">
      <c r="A237" s="200">
        <v>40</v>
      </c>
      <c r="B237" s="201" t="s">
        <v>471</v>
      </c>
      <c r="C237" s="201" t="s">
        <v>239</v>
      </c>
      <c r="D237" s="201" t="s">
        <v>368</v>
      </c>
      <c r="E237" s="202">
        <v>2250000</v>
      </c>
    </row>
    <row r="238" spans="1:5" ht="16.5" x14ac:dyDescent="0.3">
      <c r="A238" s="200">
        <v>41</v>
      </c>
      <c r="B238" s="201" t="s">
        <v>472</v>
      </c>
      <c r="C238" s="201" t="s">
        <v>239</v>
      </c>
      <c r="D238" s="201" t="s">
        <v>368</v>
      </c>
      <c r="E238" s="202">
        <v>2160000</v>
      </c>
    </row>
    <row r="239" spans="1:5" ht="16.5" x14ac:dyDescent="0.3">
      <c r="A239" s="200">
        <v>42</v>
      </c>
      <c r="B239" s="201" t="s">
        <v>473</v>
      </c>
      <c r="C239" s="201" t="s">
        <v>239</v>
      </c>
      <c r="D239" s="201" t="s">
        <v>368</v>
      </c>
      <c r="E239" s="202">
        <v>3600000</v>
      </c>
    </row>
    <row r="240" spans="1:5" ht="16.5" x14ac:dyDescent="0.3">
      <c r="A240" s="200">
        <v>43</v>
      </c>
      <c r="B240" s="201" t="s">
        <v>474</v>
      </c>
      <c r="C240" s="201" t="s">
        <v>239</v>
      </c>
      <c r="D240" s="201" t="s">
        <v>368</v>
      </c>
      <c r="E240" s="202">
        <v>3330000</v>
      </c>
    </row>
    <row r="241" spans="1:5" ht="16.5" x14ac:dyDescent="0.3">
      <c r="A241" s="200">
        <v>44</v>
      </c>
      <c r="B241" s="201" t="s">
        <v>475</v>
      </c>
      <c r="C241" s="201" t="s">
        <v>239</v>
      </c>
      <c r="D241" s="201" t="s">
        <v>368</v>
      </c>
      <c r="E241" s="202">
        <v>3150000</v>
      </c>
    </row>
    <row r="242" spans="1:5" ht="16.5" x14ac:dyDescent="0.3">
      <c r="A242" s="200">
        <v>45</v>
      </c>
      <c r="B242" s="201" t="s">
        <v>476</v>
      </c>
      <c r="C242" s="201" t="s">
        <v>239</v>
      </c>
      <c r="D242" s="201" t="s">
        <v>368</v>
      </c>
      <c r="E242" s="202">
        <v>3015000</v>
      </c>
    </row>
    <row r="243" spans="1:5" ht="16.5" x14ac:dyDescent="0.3">
      <c r="A243" s="200">
        <v>46</v>
      </c>
      <c r="B243" s="201" t="s">
        <v>477</v>
      </c>
      <c r="C243" s="201" t="s">
        <v>239</v>
      </c>
      <c r="D243" s="201" t="s">
        <v>368</v>
      </c>
      <c r="E243" s="202">
        <v>2610000</v>
      </c>
    </row>
    <row r="244" spans="1:5" ht="16.5" x14ac:dyDescent="0.3">
      <c r="A244" s="200">
        <v>47</v>
      </c>
      <c r="B244" s="201" t="s">
        <v>478</v>
      </c>
      <c r="C244" s="201" t="s">
        <v>239</v>
      </c>
      <c r="D244" s="201" t="s">
        <v>368</v>
      </c>
      <c r="E244" s="202">
        <v>3285000</v>
      </c>
    </row>
    <row r="245" spans="1:5" ht="16.5" x14ac:dyDescent="0.3">
      <c r="A245" s="200">
        <v>48</v>
      </c>
      <c r="B245" s="201" t="s">
        <v>479</v>
      </c>
      <c r="C245" s="201" t="s">
        <v>239</v>
      </c>
      <c r="D245" s="201" t="s">
        <v>368</v>
      </c>
      <c r="E245" s="202">
        <v>3150000</v>
      </c>
    </row>
    <row r="246" spans="1:5" ht="16.5" x14ac:dyDescent="0.3">
      <c r="A246" s="200">
        <v>49</v>
      </c>
      <c r="B246" s="201" t="s">
        <v>480</v>
      </c>
      <c r="C246" s="201" t="s">
        <v>239</v>
      </c>
      <c r="D246" s="201" t="s">
        <v>368</v>
      </c>
      <c r="E246" s="202">
        <v>2295000</v>
      </c>
    </row>
    <row r="247" spans="1:5" ht="16.5" x14ac:dyDescent="0.3">
      <c r="A247" s="200">
        <v>50</v>
      </c>
      <c r="B247" s="201" t="s">
        <v>481</v>
      </c>
      <c r="C247" s="201" t="s">
        <v>239</v>
      </c>
      <c r="D247" s="201" t="s">
        <v>368</v>
      </c>
      <c r="E247" s="202">
        <v>2025000</v>
      </c>
    </row>
    <row r="248" spans="1:5" ht="16.5" x14ac:dyDescent="0.3">
      <c r="A248" s="200">
        <v>51</v>
      </c>
      <c r="B248" s="201" t="s">
        <v>482</v>
      </c>
      <c r="C248" s="201" t="s">
        <v>239</v>
      </c>
      <c r="D248" s="201" t="s">
        <v>14</v>
      </c>
      <c r="E248" s="202">
        <v>5355000</v>
      </c>
    </row>
    <row r="249" spans="1:5" ht="16.5" x14ac:dyDescent="0.3">
      <c r="A249" s="200">
        <v>52</v>
      </c>
      <c r="B249" s="201" t="s">
        <v>483</v>
      </c>
      <c r="C249" s="201" t="s">
        <v>239</v>
      </c>
      <c r="D249" s="201" t="s">
        <v>14</v>
      </c>
      <c r="E249" s="202">
        <v>5265000</v>
      </c>
    </row>
    <row r="250" spans="1:5" ht="16.5" x14ac:dyDescent="0.3">
      <c r="A250" s="200">
        <v>53</v>
      </c>
      <c r="B250" s="201" t="s">
        <v>484</v>
      </c>
      <c r="C250" s="201" t="s">
        <v>239</v>
      </c>
      <c r="D250" s="201" t="s">
        <v>14</v>
      </c>
      <c r="E250" s="202">
        <v>4365000</v>
      </c>
    </row>
    <row r="251" spans="1:5" ht="16.5" x14ac:dyDescent="0.3">
      <c r="A251" s="200">
        <v>54</v>
      </c>
      <c r="B251" s="201" t="s">
        <v>485</v>
      </c>
      <c r="C251" s="201" t="s">
        <v>239</v>
      </c>
      <c r="D251" s="201" t="s">
        <v>14</v>
      </c>
      <c r="E251" s="202">
        <v>4050000</v>
      </c>
    </row>
    <row r="252" spans="1:5" ht="16.5" x14ac:dyDescent="0.3">
      <c r="A252" s="200">
        <v>55</v>
      </c>
      <c r="B252" s="201" t="s">
        <v>486</v>
      </c>
      <c r="C252" s="201" t="s">
        <v>239</v>
      </c>
      <c r="D252" s="201" t="s">
        <v>269</v>
      </c>
      <c r="E252" s="202">
        <v>40500</v>
      </c>
    </row>
    <row r="253" spans="1:5" ht="16.5" x14ac:dyDescent="0.3">
      <c r="A253" s="200">
        <v>56</v>
      </c>
      <c r="B253" s="201" t="s">
        <v>487</v>
      </c>
      <c r="C253" s="201" t="s">
        <v>239</v>
      </c>
      <c r="D253" s="201" t="s">
        <v>368</v>
      </c>
      <c r="E253" s="202">
        <v>585000</v>
      </c>
    </row>
    <row r="254" spans="1:5" ht="16.5" x14ac:dyDescent="0.3">
      <c r="A254" s="200">
        <v>57</v>
      </c>
      <c r="B254" s="201" t="s">
        <v>488</v>
      </c>
      <c r="C254" s="201" t="s">
        <v>239</v>
      </c>
      <c r="D254" s="201" t="s">
        <v>368</v>
      </c>
      <c r="E254" s="202">
        <v>315000</v>
      </c>
    </row>
    <row r="255" spans="1:5" ht="16.5" x14ac:dyDescent="0.3">
      <c r="A255" s="200">
        <v>58</v>
      </c>
      <c r="B255" s="201" t="s">
        <v>489</v>
      </c>
      <c r="C255" s="201" t="s">
        <v>239</v>
      </c>
      <c r="D255" s="201" t="s">
        <v>368</v>
      </c>
      <c r="E255" s="202">
        <v>405000</v>
      </c>
    </row>
    <row r="256" spans="1:5" ht="16.5" x14ac:dyDescent="0.3">
      <c r="A256" s="200">
        <v>59</v>
      </c>
      <c r="B256" s="201" t="s">
        <v>490</v>
      </c>
      <c r="C256" s="201" t="s">
        <v>239</v>
      </c>
      <c r="D256" s="201" t="s">
        <v>368</v>
      </c>
      <c r="E256" s="202">
        <v>315000</v>
      </c>
    </row>
    <row r="257" spans="1:5" ht="16.5" x14ac:dyDescent="0.3">
      <c r="A257" s="200">
        <v>60</v>
      </c>
      <c r="B257" s="201" t="s">
        <v>491</v>
      </c>
      <c r="C257" s="201" t="s">
        <v>239</v>
      </c>
      <c r="D257" s="201" t="s">
        <v>269</v>
      </c>
      <c r="E257" s="202">
        <v>2205000</v>
      </c>
    </row>
    <row r="258" spans="1:5" ht="16.5" x14ac:dyDescent="0.3">
      <c r="A258" s="200">
        <v>61</v>
      </c>
      <c r="B258" s="201" t="s">
        <v>492</v>
      </c>
      <c r="C258" s="201" t="s">
        <v>239</v>
      </c>
      <c r="D258" s="201" t="s">
        <v>269</v>
      </c>
      <c r="E258" s="202">
        <v>1305000</v>
      </c>
    </row>
    <row r="259" spans="1:5" ht="16.5" x14ac:dyDescent="0.3">
      <c r="A259" s="200">
        <v>62</v>
      </c>
      <c r="B259" s="201" t="s">
        <v>493</v>
      </c>
      <c r="C259" s="201"/>
      <c r="D259" s="201" t="s">
        <v>368</v>
      </c>
      <c r="E259" s="202">
        <v>2250000</v>
      </c>
    </row>
    <row r="260" spans="1:5" ht="16.5" x14ac:dyDescent="0.3">
      <c r="A260" s="200">
        <v>63</v>
      </c>
      <c r="B260" s="201" t="s">
        <v>494</v>
      </c>
      <c r="C260" s="201"/>
      <c r="D260" s="201" t="s">
        <v>269</v>
      </c>
      <c r="E260" s="202">
        <v>3465000</v>
      </c>
    </row>
    <row r="261" spans="1:5" ht="16.5" x14ac:dyDescent="0.3">
      <c r="A261" s="200">
        <v>64</v>
      </c>
      <c r="B261" s="201" t="s">
        <v>495</v>
      </c>
      <c r="C261" s="201"/>
      <c r="D261" s="201" t="s">
        <v>269</v>
      </c>
      <c r="E261" s="202">
        <v>3285000</v>
      </c>
    </row>
    <row r="262" spans="1:5" ht="16.5" x14ac:dyDescent="0.3">
      <c r="A262" s="200">
        <v>65</v>
      </c>
      <c r="B262" s="201" t="s">
        <v>496</v>
      </c>
      <c r="C262" s="201"/>
      <c r="D262" s="201" t="s">
        <v>269</v>
      </c>
      <c r="E262" s="202">
        <v>2475000</v>
      </c>
    </row>
    <row r="263" spans="1:5" ht="16.5" x14ac:dyDescent="0.3">
      <c r="A263" s="200">
        <v>66</v>
      </c>
      <c r="B263" s="201" t="s">
        <v>497</v>
      </c>
      <c r="C263" s="201"/>
      <c r="D263" s="201" t="s">
        <v>269</v>
      </c>
      <c r="E263" s="202">
        <v>382500</v>
      </c>
    </row>
    <row r="264" spans="1:5" ht="16.5" x14ac:dyDescent="0.3">
      <c r="A264" s="200">
        <v>67</v>
      </c>
      <c r="B264" s="201" t="s">
        <v>498</v>
      </c>
      <c r="C264" s="201"/>
      <c r="D264" s="201" t="s">
        <v>368</v>
      </c>
      <c r="E264" s="202">
        <v>3150000</v>
      </c>
    </row>
    <row r="265" spans="1:5" ht="16.5" x14ac:dyDescent="0.3">
      <c r="A265" s="200">
        <v>68</v>
      </c>
      <c r="B265" s="201" t="s">
        <v>499</v>
      </c>
      <c r="C265" s="201"/>
      <c r="D265" s="201" t="s">
        <v>368</v>
      </c>
      <c r="E265" s="202">
        <v>1575000</v>
      </c>
    </row>
    <row r="266" spans="1:5" ht="16.5" x14ac:dyDescent="0.3">
      <c r="A266" s="200">
        <v>69</v>
      </c>
      <c r="B266" s="201" t="s">
        <v>500</v>
      </c>
      <c r="C266" s="201"/>
      <c r="D266" s="201" t="s">
        <v>368</v>
      </c>
      <c r="E266" s="202">
        <v>1125000</v>
      </c>
    </row>
    <row r="267" spans="1:5" ht="16.5" x14ac:dyDescent="0.3">
      <c r="A267" s="200">
        <v>70</v>
      </c>
      <c r="B267" s="201" t="s">
        <v>501</v>
      </c>
      <c r="C267" s="201"/>
      <c r="D267" s="201" t="s">
        <v>368</v>
      </c>
      <c r="E267" s="202">
        <v>315000</v>
      </c>
    </row>
    <row r="268" spans="1:5" ht="16.5" x14ac:dyDescent="0.3">
      <c r="A268" s="200">
        <v>71</v>
      </c>
      <c r="B268" s="201" t="s">
        <v>502</v>
      </c>
      <c r="C268" s="201"/>
      <c r="D268" s="201" t="s">
        <v>38</v>
      </c>
      <c r="E268" s="202">
        <v>405000</v>
      </c>
    </row>
    <row r="269" spans="1:5" ht="16.5" x14ac:dyDescent="0.3">
      <c r="A269" s="200">
        <v>72</v>
      </c>
      <c r="B269" s="201" t="s">
        <v>503</v>
      </c>
      <c r="C269" s="201"/>
      <c r="D269" s="201" t="s">
        <v>504</v>
      </c>
      <c r="E269" s="202">
        <v>202500</v>
      </c>
    </row>
    <row r="270" spans="1:5" ht="16.5" x14ac:dyDescent="0.3">
      <c r="A270" s="200">
        <v>73</v>
      </c>
      <c r="B270" s="201" t="s">
        <v>505</v>
      </c>
      <c r="C270" s="201"/>
      <c r="D270" s="201" t="s">
        <v>368</v>
      </c>
      <c r="E270" s="202">
        <v>2475000</v>
      </c>
    </row>
    <row r="271" spans="1:5" ht="16.5" x14ac:dyDescent="0.3">
      <c r="A271" s="200"/>
      <c r="B271" s="201"/>
      <c r="C271" s="201"/>
      <c r="D271" s="201"/>
      <c r="E271" s="202"/>
    </row>
    <row r="272" spans="1:5" ht="16.5" x14ac:dyDescent="0.3">
      <c r="A272" s="203" t="s">
        <v>239</v>
      </c>
      <c r="B272" s="204" t="s">
        <v>506</v>
      </c>
      <c r="C272" s="204"/>
      <c r="D272" s="204"/>
      <c r="E272" s="205"/>
    </row>
    <row r="273" spans="1:5" ht="16.5" x14ac:dyDescent="0.3">
      <c r="A273" s="200">
        <v>1</v>
      </c>
      <c r="B273" s="201" t="s">
        <v>507</v>
      </c>
      <c r="C273" s="201"/>
      <c r="D273" s="201" t="s">
        <v>269</v>
      </c>
      <c r="E273" s="202">
        <v>47619000</v>
      </c>
    </row>
    <row r="274" spans="1:5" ht="16.5" x14ac:dyDescent="0.3">
      <c r="A274" s="200">
        <v>2</v>
      </c>
      <c r="B274" s="201" t="s">
        <v>508</v>
      </c>
      <c r="C274" s="201"/>
      <c r="D274" s="201" t="s">
        <v>269</v>
      </c>
      <c r="E274" s="202">
        <v>65736000</v>
      </c>
    </row>
    <row r="275" spans="1:5" ht="16.5" x14ac:dyDescent="0.3">
      <c r="A275" s="200">
        <v>3</v>
      </c>
      <c r="B275" s="201" t="s">
        <v>509</v>
      </c>
      <c r="C275" s="201"/>
      <c r="D275" s="201" t="s">
        <v>269</v>
      </c>
      <c r="E275" s="202">
        <v>93951000</v>
      </c>
    </row>
    <row r="276" spans="1:5" ht="16.5" x14ac:dyDescent="0.3">
      <c r="A276" s="200">
        <v>4</v>
      </c>
      <c r="B276" s="201" t="s">
        <v>510</v>
      </c>
      <c r="C276" s="201"/>
      <c r="D276" s="201" t="s">
        <v>269</v>
      </c>
      <c r="E276" s="202">
        <v>168201000</v>
      </c>
    </row>
    <row r="277" spans="1:5" ht="16.5" x14ac:dyDescent="0.3">
      <c r="A277" s="200">
        <v>5</v>
      </c>
      <c r="B277" s="201" t="s">
        <v>511</v>
      </c>
      <c r="C277" s="201"/>
      <c r="D277" s="201" t="s">
        <v>269</v>
      </c>
      <c r="E277" s="202">
        <v>176121000</v>
      </c>
    </row>
    <row r="278" spans="1:5" ht="16.5" x14ac:dyDescent="0.3">
      <c r="A278" s="200">
        <v>6</v>
      </c>
      <c r="B278" s="201" t="s">
        <v>512</v>
      </c>
      <c r="C278" s="201"/>
      <c r="D278" s="201" t="s">
        <v>269</v>
      </c>
      <c r="E278" s="202">
        <v>211959000</v>
      </c>
    </row>
    <row r="279" spans="1:5" ht="16.5" x14ac:dyDescent="0.3">
      <c r="A279" s="200">
        <v>7</v>
      </c>
      <c r="B279" s="201" t="s">
        <v>513</v>
      </c>
      <c r="C279" s="201"/>
      <c r="D279" s="201" t="s">
        <v>269</v>
      </c>
      <c r="E279" s="202">
        <v>257697000</v>
      </c>
    </row>
    <row r="280" spans="1:5" ht="16.5" x14ac:dyDescent="0.3">
      <c r="A280" s="200">
        <v>8</v>
      </c>
      <c r="B280" s="201" t="s">
        <v>514</v>
      </c>
      <c r="C280" s="201"/>
      <c r="D280" s="201" t="s">
        <v>368</v>
      </c>
      <c r="E280" s="202">
        <v>228690</v>
      </c>
    </row>
    <row r="281" spans="1:5" ht="16.5" x14ac:dyDescent="0.3">
      <c r="A281" s="200">
        <v>9</v>
      </c>
      <c r="B281" s="201" t="s">
        <v>515</v>
      </c>
      <c r="C281" s="201"/>
      <c r="D281" s="201" t="s">
        <v>368</v>
      </c>
      <c r="E281" s="202">
        <v>290070</v>
      </c>
    </row>
    <row r="282" spans="1:5" ht="16.5" x14ac:dyDescent="0.3">
      <c r="A282" s="200">
        <v>10</v>
      </c>
      <c r="B282" s="201" t="s">
        <v>516</v>
      </c>
      <c r="C282" s="201"/>
      <c r="D282" s="201" t="s">
        <v>368</v>
      </c>
      <c r="E282" s="202">
        <v>377190</v>
      </c>
    </row>
    <row r="283" spans="1:5" ht="16.5" x14ac:dyDescent="0.3">
      <c r="A283" s="200">
        <v>11</v>
      </c>
      <c r="B283" s="201" t="s">
        <v>517</v>
      </c>
      <c r="C283" s="201"/>
      <c r="D283" s="201" t="s">
        <v>368</v>
      </c>
      <c r="E283" s="202">
        <v>442530</v>
      </c>
    </row>
    <row r="284" spans="1:5" ht="16.5" x14ac:dyDescent="0.3">
      <c r="A284" s="200">
        <v>12</v>
      </c>
      <c r="B284" s="201" t="s">
        <v>518</v>
      </c>
      <c r="C284" s="201"/>
      <c r="D284" s="201" t="s">
        <v>368</v>
      </c>
      <c r="E284" s="202">
        <v>563310</v>
      </c>
    </row>
    <row r="285" spans="1:5" ht="16.5" x14ac:dyDescent="0.3">
      <c r="A285" s="200">
        <v>13</v>
      </c>
      <c r="B285" s="201" t="s">
        <v>519</v>
      </c>
      <c r="C285" s="201"/>
      <c r="D285" s="201" t="s">
        <v>368</v>
      </c>
      <c r="E285" s="202">
        <v>735570</v>
      </c>
    </row>
    <row r="286" spans="1:5" ht="16.5" x14ac:dyDescent="0.3">
      <c r="A286" s="200">
        <v>14</v>
      </c>
      <c r="B286" s="201" t="s">
        <v>520</v>
      </c>
      <c r="C286" s="201"/>
      <c r="D286" s="201" t="s">
        <v>368</v>
      </c>
      <c r="E286" s="202">
        <v>205920</v>
      </c>
    </row>
    <row r="287" spans="1:5" ht="16.5" x14ac:dyDescent="0.3">
      <c r="A287" s="200">
        <v>15</v>
      </c>
      <c r="B287" s="201" t="s">
        <v>521</v>
      </c>
      <c r="C287" s="201"/>
      <c r="D287" s="201" t="s">
        <v>368</v>
      </c>
      <c r="E287" s="202">
        <v>277200</v>
      </c>
    </row>
    <row r="288" spans="1:5" ht="16.5" x14ac:dyDescent="0.3">
      <c r="A288" s="200">
        <v>16</v>
      </c>
      <c r="B288" s="201" t="s">
        <v>522</v>
      </c>
      <c r="C288" s="201"/>
      <c r="D288" s="201" t="s">
        <v>368</v>
      </c>
      <c r="E288" s="202">
        <v>368280</v>
      </c>
    </row>
    <row r="289" spans="1:5" ht="16.5" x14ac:dyDescent="0.3">
      <c r="A289" s="200">
        <v>17</v>
      </c>
      <c r="B289" s="201" t="s">
        <v>523</v>
      </c>
      <c r="C289" s="201"/>
      <c r="D289" s="201" t="s">
        <v>368</v>
      </c>
      <c r="E289" s="202">
        <v>463320</v>
      </c>
    </row>
    <row r="290" spans="1:5" ht="16.5" x14ac:dyDescent="0.3">
      <c r="A290" s="200">
        <v>18</v>
      </c>
      <c r="B290" s="201" t="s">
        <v>524</v>
      </c>
      <c r="C290" s="201"/>
      <c r="D290" s="201" t="s">
        <v>368</v>
      </c>
      <c r="E290" s="202">
        <v>594000</v>
      </c>
    </row>
    <row r="291" spans="1:5" ht="16.5" x14ac:dyDescent="0.3">
      <c r="A291" s="200">
        <v>19</v>
      </c>
      <c r="B291" s="201" t="s">
        <v>525</v>
      </c>
      <c r="C291" s="201"/>
      <c r="D291" s="201" t="s">
        <v>368</v>
      </c>
      <c r="E291" s="202">
        <v>718740</v>
      </c>
    </row>
    <row r="292" spans="1:5" ht="16.5" x14ac:dyDescent="0.3">
      <c r="A292" s="200">
        <v>20</v>
      </c>
      <c r="B292" s="201" t="s">
        <v>526</v>
      </c>
      <c r="C292" s="201"/>
      <c r="D292" s="201" t="s">
        <v>368</v>
      </c>
      <c r="E292" s="202">
        <v>478170</v>
      </c>
    </row>
    <row r="293" spans="1:5" ht="16.5" x14ac:dyDescent="0.3">
      <c r="A293" s="200">
        <v>21</v>
      </c>
      <c r="B293" s="201" t="s">
        <v>527</v>
      </c>
      <c r="C293" s="201"/>
      <c r="D293" s="201" t="s">
        <v>368</v>
      </c>
      <c r="E293" s="202">
        <v>564300</v>
      </c>
    </row>
    <row r="294" spans="1:5" ht="16.5" x14ac:dyDescent="0.3">
      <c r="A294" s="200">
        <v>22</v>
      </c>
      <c r="B294" s="201" t="s">
        <v>528</v>
      </c>
      <c r="C294" s="201"/>
      <c r="D294" s="201" t="s">
        <v>368</v>
      </c>
      <c r="E294" s="202">
        <v>426420</v>
      </c>
    </row>
    <row r="295" spans="1:5" ht="16.5" x14ac:dyDescent="0.3">
      <c r="A295" s="200">
        <v>23</v>
      </c>
      <c r="B295" s="201" t="s">
        <v>529</v>
      </c>
      <c r="C295" s="201"/>
      <c r="D295" s="201" t="s">
        <v>368</v>
      </c>
      <c r="E295" s="202">
        <v>556830</v>
      </c>
    </row>
    <row r="296" spans="1:5" ht="16.5" x14ac:dyDescent="0.3">
      <c r="A296" s="200">
        <v>24</v>
      </c>
      <c r="B296" s="201" t="s">
        <v>530</v>
      </c>
      <c r="C296" s="201"/>
      <c r="D296" s="201" t="s">
        <v>368</v>
      </c>
      <c r="E296" s="202">
        <v>714375</v>
      </c>
    </row>
    <row r="297" spans="1:5" ht="16.5" x14ac:dyDescent="0.3">
      <c r="A297" s="200">
        <v>25</v>
      </c>
      <c r="B297" s="201" t="s">
        <v>531</v>
      </c>
      <c r="C297" s="201"/>
      <c r="D297" s="201" t="s">
        <v>368</v>
      </c>
      <c r="E297" s="202">
        <v>748125</v>
      </c>
    </row>
    <row r="298" spans="1:5" ht="16.5" x14ac:dyDescent="0.3">
      <c r="A298" s="200">
        <v>26</v>
      </c>
      <c r="B298" s="201" t="s">
        <v>532</v>
      </c>
      <c r="C298" s="201"/>
      <c r="D298" s="201" t="s">
        <v>368</v>
      </c>
      <c r="E298" s="202">
        <v>795960</v>
      </c>
    </row>
    <row r="299" spans="1:5" ht="16.5" x14ac:dyDescent="0.3">
      <c r="A299" s="200">
        <v>27</v>
      </c>
      <c r="B299" s="201" t="s">
        <v>533</v>
      </c>
      <c r="C299" s="201"/>
      <c r="D299" s="201" t="s">
        <v>368</v>
      </c>
      <c r="E299" s="202">
        <v>864000</v>
      </c>
    </row>
    <row r="300" spans="1:5" ht="16.5" x14ac:dyDescent="0.3">
      <c r="A300" s="200">
        <v>28</v>
      </c>
      <c r="B300" s="201" t="s">
        <v>534</v>
      </c>
      <c r="C300" s="201"/>
      <c r="D300" s="201" t="s">
        <v>368</v>
      </c>
      <c r="E300" s="202">
        <v>879750</v>
      </c>
    </row>
    <row r="301" spans="1:5" ht="16.5" x14ac:dyDescent="0.3">
      <c r="A301" s="200">
        <v>29</v>
      </c>
      <c r="B301" s="201" t="s">
        <v>535</v>
      </c>
      <c r="C301" s="201"/>
      <c r="D301" s="201" t="s">
        <v>368</v>
      </c>
      <c r="E301" s="202">
        <v>965250</v>
      </c>
    </row>
    <row r="302" spans="1:5" ht="16.5" x14ac:dyDescent="0.3">
      <c r="A302" s="200">
        <v>30</v>
      </c>
      <c r="B302" s="201" t="s">
        <v>536</v>
      </c>
      <c r="C302" s="201"/>
      <c r="D302" s="201" t="s">
        <v>368</v>
      </c>
      <c r="E302" s="202">
        <v>1021500</v>
      </c>
    </row>
    <row r="303" spans="1:5" ht="16.5" x14ac:dyDescent="0.3">
      <c r="A303" s="200">
        <v>31</v>
      </c>
      <c r="B303" s="201" t="s">
        <v>537</v>
      </c>
      <c r="C303" s="201"/>
      <c r="D303" s="201" t="s">
        <v>368</v>
      </c>
      <c r="E303" s="202">
        <v>1095750</v>
      </c>
    </row>
    <row r="304" spans="1:5" ht="16.5" x14ac:dyDescent="0.3">
      <c r="A304" s="200">
        <v>32</v>
      </c>
      <c r="B304" s="201" t="s">
        <v>538</v>
      </c>
      <c r="C304" s="201"/>
      <c r="D304" s="201" t="s">
        <v>368</v>
      </c>
      <c r="E304" s="202">
        <v>1099125</v>
      </c>
    </row>
    <row r="305" spans="1:5" ht="16.5" x14ac:dyDescent="0.3">
      <c r="A305" s="200">
        <v>33</v>
      </c>
      <c r="B305" s="201" t="s">
        <v>539</v>
      </c>
      <c r="C305" s="201"/>
      <c r="D305" s="201" t="s">
        <v>368</v>
      </c>
      <c r="E305" s="202">
        <v>1203750</v>
      </c>
    </row>
    <row r="306" spans="1:5" ht="16.5" x14ac:dyDescent="0.3">
      <c r="A306" s="200">
        <v>34</v>
      </c>
      <c r="B306" s="201" t="s">
        <v>540</v>
      </c>
      <c r="C306" s="201"/>
      <c r="D306" s="201" t="s">
        <v>368</v>
      </c>
      <c r="E306" s="202">
        <v>1282500</v>
      </c>
    </row>
    <row r="307" spans="1:5" ht="16.5" x14ac:dyDescent="0.3">
      <c r="A307" s="200">
        <v>35</v>
      </c>
      <c r="B307" s="201" t="s">
        <v>541</v>
      </c>
      <c r="C307" s="201"/>
      <c r="D307" s="201" t="s">
        <v>368</v>
      </c>
      <c r="E307" s="202">
        <v>1459125</v>
      </c>
    </row>
    <row r="308" spans="1:5" ht="16.5" x14ac:dyDescent="0.3">
      <c r="A308" s="200">
        <v>36</v>
      </c>
      <c r="B308" s="201" t="s">
        <v>542</v>
      </c>
      <c r="C308" s="201"/>
      <c r="D308" s="201" t="s">
        <v>368</v>
      </c>
      <c r="E308" s="202">
        <v>141570</v>
      </c>
    </row>
    <row r="309" spans="1:5" ht="16.5" x14ac:dyDescent="0.3">
      <c r="A309" s="200">
        <v>37</v>
      </c>
      <c r="B309" s="201" t="s">
        <v>543</v>
      </c>
      <c r="C309" s="201"/>
      <c r="D309" s="201" t="s">
        <v>368</v>
      </c>
      <c r="E309" s="202">
        <v>159390</v>
      </c>
    </row>
    <row r="310" spans="1:5" ht="16.5" x14ac:dyDescent="0.3">
      <c r="A310" s="200">
        <v>38</v>
      </c>
      <c r="B310" s="201" t="s">
        <v>544</v>
      </c>
      <c r="C310" s="201"/>
      <c r="D310" s="201" t="s">
        <v>368</v>
      </c>
      <c r="E310" s="202">
        <v>178200</v>
      </c>
    </row>
    <row r="311" spans="1:5" ht="16.5" x14ac:dyDescent="0.3">
      <c r="A311" s="200">
        <v>39</v>
      </c>
      <c r="B311" s="201" t="s">
        <v>545</v>
      </c>
      <c r="C311" s="201"/>
      <c r="D311" s="201" t="s">
        <v>269</v>
      </c>
      <c r="E311" s="202">
        <v>28116000</v>
      </c>
    </row>
    <row r="312" spans="1:5" ht="16.5" x14ac:dyDescent="0.3">
      <c r="A312" s="200">
        <v>40</v>
      </c>
      <c r="B312" s="201" t="s">
        <v>546</v>
      </c>
      <c r="C312" s="201"/>
      <c r="D312" s="201" t="s">
        <v>269</v>
      </c>
      <c r="E312" s="202">
        <v>36234000</v>
      </c>
    </row>
    <row r="313" spans="1:5" ht="16.5" x14ac:dyDescent="0.3">
      <c r="A313" s="200">
        <v>41</v>
      </c>
      <c r="B313" s="201" t="s">
        <v>547</v>
      </c>
      <c r="C313" s="201"/>
      <c r="D313" s="201" t="s">
        <v>269</v>
      </c>
      <c r="E313" s="202">
        <v>42966000</v>
      </c>
    </row>
    <row r="314" spans="1:5" ht="16.5" x14ac:dyDescent="0.3">
      <c r="A314" s="200">
        <v>42</v>
      </c>
      <c r="B314" s="201" t="s">
        <v>548</v>
      </c>
      <c r="C314" s="201"/>
      <c r="D314" s="201" t="s">
        <v>269</v>
      </c>
      <c r="E314" s="202">
        <v>108000</v>
      </c>
    </row>
    <row r="315" spans="1:5" ht="16.5" x14ac:dyDescent="0.3">
      <c r="A315" s="200">
        <v>43</v>
      </c>
      <c r="B315" s="201" t="s">
        <v>549</v>
      </c>
      <c r="C315" s="201"/>
      <c r="D315" s="201" t="s">
        <v>269</v>
      </c>
      <c r="E315" s="202">
        <v>182250</v>
      </c>
    </row>
    <row r="316" spans="1:5" ht="16.5" x14ac:dyDescent="0.3">
      <c r="A316" s="200"/>
      <c r="B316" s="201"/>
      <c r="C316" s="201"/>
      <c r="D316" s="201"/>
      <c r="E316" s="202"/>
    </row>
    <row r="317" spans="1:5" ht="16.5" x14ac:dyDescent="0.3">
      <c r="A317" s="203" t="s">
        <v>239</v>
      </c>
      <c r="B317" s="204" t="s">
        <v>550</v>
      </c>
      <c r="C317" s="204"/>
      <c r="D317" s="204"/>
      <c r="E317" s="205"/>
    </row>
    <row r="318" spans="1:5" ht="16.5" x14ac:dyDescent="0.3">
      <c r="A318" s="200">
        <v>1</v>
      </c>
      <c r="B318" s="201" t="s">
        <v>551</v>
      </c>
      <c r="C318" s="201"/>
      <c r="D318" s="201" t="s">
        <v>269</v>
      </c>
      <c r="E318" s="202">
        <v>112500</v>
      </c>
    </row>
    <row r="319" spans="1:5" ht="16.5" x14ac:dyDescent="0.3">
      <c r="A319" s="200">
        <v>2</v>
      </c>
      <c r="B319" s="201" t="s">
        <v>552</v>
      </c>
      <c r="C319" s="201"/>
      <c r="D319" s="201" t="s">
        <v>269</v>
      </c>
      <c r="E319" s="202">
        <v>517500</v>
      </c>
    </row>
    <row r="320" spans="1:5" ht="16.5" x14ac:dyDescent="0.3">
      <c r="A320" s="200">
        <v>3</v>
      </c>
      <c r="B320" s="201" t="s">
        <v>553</v>
      </c>
      <c r="C320" s="201"/>
      <c r="D320" s="201" t="s">
        <v>269</v>
      </c>
      <c r="E320" s="202">
        <v>742500</v>
      </c>
    </row>
    <row r="321" spans="1:5" ht="16.5" x14ac:dyDescent="0.3">
      <c r="A321" s="200">
        <v>4</v>
      </c>
      <c r="B321" s="201" t="s">
        <v>554</v>
      </c>
      <c r="C321" s="201"/>
      <c r="D321" s="201" t="s">
        <v>269</v>
      </c>
      <c r="E321" s="202">
        <v>1129950</v>
      </c>
    </row>
    <row r="322" spans="1:5" ht="16.5" x14ac:dyDescent="0.3">
      <c r="A322" s="200">
        <v>5</v>
      </c>
      <c r="B322" s="201" t="s">
        <v>555</v>
      </c>
      <c r="C322" s="201"/>
      <c r="D322" s="201" t="s">
        <v>556</v>
      </c>
      <c r="E322" s="202">
        <v>139500</v>
      </c>
    </row>
    <row r="323" spans="1:5" ht="16.5" x14ac:dyDescent="0.3">
      <c r="A323" s="200">
        <v>6</v>
      </c>
      <c r="B323" s="201" t="s">
        <v>557</v>
      </c>
      <c r="C323" s="201"/>
      <c r="D323" s="201" t="s">
        <v>368</v>
      </c>
      <c r="E323" s="202">
        <v>459000</v>
      </c>
    </row>
    <row r="324" spans="1:5" ht="16.5" x14ac:dyDescent="0.3">
      <c r="A324" s="200">
        <v>7</v>
      </c>
      <c r="B324" s="201" t="s">
        <v>558</v>
      </c>
      <c r="C324" s="201"/>
      <c r="D324" s="201" t="s">
        <v>368</v>
      </c>
      <c r="E324" s="202">
        <v>945000</v>
      </c>
    </row>
    <row r="325" spans="1:5" ht="16.5" x14ac:dyDescent="0.3">
      <c r="A325" s="200"/>
      <c r="B325" s="201"/>
      <c r="C325" s="201"/>
      <c r="D325" s="201"/>
      <c r="E325" s="202"/>
    </row>
    <row r="326" spans="1:5" ht="16.5" x14ac:dyDescent="0.3">
      <c r="A326" s="203" t="s">
        <v>239</v>
      </c>
      <c r="B326" s="204" t="s">
        <v>559</v>
      </c>
      <c r="C326" s="204"/>
      <c r="D326" s="204"/>
      <c r="E326" s="205"/>
    </row>
    <row r="327" spans="1:5" ht="16.5" x14ac:dyDescent="0.3">
      <c r="A327" s="200">
        <v>1</v>
      </c>
      <c r="B327" s="201" t="s">
        <v>560</v>
      </c>
      <c r="C327" s="201"/>
      <c r="D327" s="201" t="s">
        <v>269</v>
      </c>
      <c r="E327" s="202">
        <v>3600</v>
      </c>
    </row>
    <row r="328" spans="1:5" ht="16.5" x14ac:dyDescent="0.3">
      <c r="A328" s="200">
        <v>2</v>
      </c>
      <c r="B328" s="201" t="s">
        <v>561</v>
      </c>
      <c r="C328" s="201"/>
      <c r="D328" s="201" t="s">
        <v>269</v>
      </c>
      <c r="E328" s="202">
        <v>3600</v>
      </c>
    </row>
    <row r="329" spans="1:5" ht="16.5" x14ac:dyDescent="0.3">
      <c r="A329" s="200">
        <v>3</v>
      </c>
      <c r="B329" s="201" t="s">
        <v>562</v>
      </c>
      <c r="C329" s="201"/>
      <c r="D329" s="201" t="s">
        <v>269</v>
      </c>
      <c r="E329" s="202">
        <v>1665</v>
      </c>
    </row>
    <row r="330" spans="1:5" ht="16.5" x14ac:dyDescent="0.3">
      <c r="A330" s="200">
        <v>4</v>
      </c>
      <c r="B330" s="201" t="s">
        <v>563</v>
      </c>
      <c r="C330" s="201"/>
      <c r="D330" s="201" t="s">
        <v>269</v>
      </c>
      <c r="E330" s="202">
        <v>3600</v>
      </c>
    </row>
    <row r="331" spans="1:5" ht="16.5" x14ac:dyDescent="0.3">
      <c r="A331" s="200">
        <v>5</v>
      </c>
      <c r="B331" s="201" t="s">
        <v>564</v>
      </c>
      <c r="C331" s="201"/>
      <c r="D331" s="201" t="s">
        <v>320</v>
      </c>
      <c r="E331" s="202">
        <v>94500</v>
      </c>
    </row>
    <row r="332" spans="1:5" ht="16.5" x14ac:dyDescent="0.3">
      <c r="A332" s="200">
        <v>6</v>
      </c>
      <c r="B332" s="201" t="s">
        <v>565</v>
      </c>
      <c r="C332" s="201"/>
      <c r="D332" s="201" t="s">
        <v>269</v>
      </c>
      <c r="E332" s="202">
        <v>2025</v>
      </c>
    </row>
    <row r="333" spans="1:5" ht="16.5" x14ac:dyDescent="0.3">
      <c r="A333" s="200">
        <v>7</v>
      </c>
      <c r="B333" s="201" t="s">
        <v>566</v>
      </c>
      <c r="C333" s="201"/>
      <c r="D333" s="201" t="s">
        <v>269</v>
      </c>
      <c r="E333" s="202">
        <v>3150</v>
      </c>
    </row>
    <row r="334" spans="1:5" ht="16.5" x14ac:dyDescent="0.3">
      <c r="A334" s="200">
        <v>8</v>
      </c>
      <c r="B334" s="201" t="s">
        <v>567</v>
      </c>
      <c r="C334" s="201"/>
      <c r="D334" s="201" t="s">
        <v>269</v>
      </c>
      <c r="E334" s="202">
        <v>5040</v>
      </c>
    </row>
    <row r="335" spans="1:5" ht="16.5" x14ac:dyDescent="0.3">
      <c r="A335" s="200">
        <v>9</v>
      </c>
      <c r="B335" s="201" t="s">
        <v>568</v>
      </c>
      <c r="C335" s="201"/>
      <c r="D335" s="201" t="s">
        <v>269</v>
      </c>
      <c r="E335" s="202">
        <v>8100</v>
      </c>
    </row>
    <row r="336" spans="1:5" ht="16.5" x14ac:dyDescent="0.3">
      <c r="A336" s="200">
        <v>10</v>
      </c>
      <c r="B336" s="201" t="s">
        <v>569</v>
      </c>
      <c r="C336" s="201"/>
      <c r="D336" s="201" t="s">
        <v>269</v>
      </c>
      <c r="E336" s="202">
        <v>5850</v>
      </c>
    </row>
    <row r="337" spans="1:5" ht="16.5" x14ac:dyDescent="0.3">
      <c r="A337" s="200">
        <v>11</v>
      </c>
      <c r="B337" s="201" t="s">
        <v>570</v>
      </c>
      <c r="C337" s="201"/>
      <c r="D337" s="201" t="s">
        <v>320</v>
      </c>
      <c r="E337" s="202">
        <v>49500</v>
      </c>
    </row>
    <row r="338" spans="1:5" ht="16.5" x14ac:dyDescent="0.3">
      <c r="A338" s="200">
        <v>12</v>
      </c>
      <c r="B338" s="201" t="s">
        <v>571</v>
      </c>
      <c r="C338" s="201"/>
      <c r="D338" s="201" t="s">
        <v>320</v>
      </c>
      <c r="E338" s="202">
        <v>45000</v>
      </c>
    </row>
    <row r="339" spans="1:5" ht="16.5" x14ac:dyDescent="0.3">
      <c r="A339" s="200">
        <v>13</v>
      </c>
      <c r="B339" s="201" t="s">
        <v>572</v>
      </c>
      <c r="C339" s="201"/>
      <c r="D339" s="201" t="s">
        <v>320</v>
      </c>
      <c r="E339" s="202">
        <v>75600</v>
      </c>
    </row>
    <row r="340" spans="1:5" ht="16.5" x14ac:dyDescent="0.3">
      <c r="A340" s="200">
        <v>14</v>
      </c>
      <c r="B340" s="201" t="s">
        <v>573</v>
      </c>
      <c r="C340" s="201"/>
      <c r="D340" s="201" t="s">
        <v>320</v>
      </c>
      <c r="E340" s="202">
        <v>90000</v>
      </c>
    </row>
    <row r="341" spans="1:5" ht="16.5" x14ac:dyDescent="0.3">
      <c r="A341" s="200">
        <v>15</v>
      </c>
      <c r="B341" s="201" t="s">
        <v>574</v>
      </c>
      <c r="C341" s="201"/>
      <c r="D341" s="201" t="s">
        <v>320</v>
      </c>
      <c r="E341" s="202">
        <v>67500</v>
      </c>
    </row>
    <row r="342" spans="1:5" ht="16.5" x14ac:dyDescent="0.3">
      <c r="A342" s="200">
        <v>16</v>
      </c>
      <c r="B342" s="201" t="s">
        <v>575</v>
      </c>
      <c r="C342" s="201"/>
      <c r="D342" s="201" t="s">
        <v>320</v>
      </c>
      <c r="E342" s="202">
        <v>60750</v>
      </c>
    </row>
    <row r="343" spans="1:5" ht="16.5" x14ac:dyDescent="0.3">
      <c r="A343" s="200">
        <v>17</v>
      </c>
      <c r="B343" s="201" t="s">
        <v>576</v>
      </c>
      <c r="C343" s="201"/>
      <c r="D343" s="201" t="s">
        <v>320</v>
      </c>
      <c r="E343" s="202">
        <v>81000</v>
      </c>
    </row>
    <row r="344" spans="1:5" ht="16.5" x14ac:dyDescent="0.3">
      <c r="A344" s="200">
        <v>18</v>
      </c>
      <c r="B344" s="201" t="s">
        <v>577</v>
      </c>
      <c r="C344" s="201" t="s">
        <v>239</v>
      </c>
      <c r="D344" s="201" t="s">
        <v>320</v>
      </c>
      <c r="E344" s="202">
        <v>72000</v>
      </c>
    </row>
    <row r="345" spans="1:5" ht="16.5" x14ac:dyDescent="0.3">
      <c r="A345" s="200">
        <v>19</v>
      </c>
      <c r="B345" s="201" t="s">
        <v>578</v>
      </c>
      <c r="C345" s="201" t="s">
        <v>239</v>
      </c>
      <c r="D345" s="201" t="s">
        <v>320</v>
      </c>
      <c r="E345" s="202">
        <v>63000</v>
      </c>
    </row>
    <row r="346" spans="1:5" ht="16.5" x14ac:dyDescent="0.3">
      <c r="A346" s="200">
        <v>20</v>
      </c>
      <c r="B346" s="201" t="s">
        <v>579</v>
      </c>
      <c r="C346" s="201" t="s">
        <v>239</v>
      </c>
      <c r="D346" s="201" t="s">
        <v>368</v>
      </c>
      <c r="E346" s="202">
        <v>36000</v>
      </c>
    </row>
    <row r="347" spans="1:5" ht="16.5" x14ac:dyDescent="0.3">
      <c r="A347" s="200">
        <v>21</v>
      </c>
      <c r="B347" s="201" t="s">
        <v>580</v>
      </c>
      <c r="C347" s="201" t="s">
        <v>239</v>
      </c>
      <c r="D347" s="201" t="s">
        <v>368</v>
      </c>
      <c r="E347" s="202">
        <v>45000</v>
      </c>
    </row>
    <row r="348" spans="1:5" ht="16.5" x14ac:dyDescent="0.3">
      <c r="A348" s="200">
        <v>22</v>
      </c>
      <c r="B348" s="201" t="s">
        <v>581</v>
      </c>
      <c r="C348" s="201" t="s">
        <v>239</v>
      </c>
      <c r="D348" s="201" t="s">
        <v>320</v>
      </c>
      <c r="E348" s="202">
        <v>1575</v>
      </c>
    </row>
    <row r="349" spans="1:5" ht="16.5" x14ac:dyDescent="0.3">
      <c r="A349" s="200">
        <v>23</v>
      </c>
      <c r="B349" s="201" t="s">
        <v>582</v>
      </c>
      <c r="C349" s="201" t="s">
        <v>239</v>
      </c>
      <c r="D349" s="201" t="s">
        <v>320</v>
      </c>
      <c r="E349" s="202">
        <v>85500</v>
      </c>
    </row>
    <row r="350" spans="1:5" ht="16.5" x14ac:dyDescent="0.3">
      <c r="A350" s="200">
        <v>24</v>
      </c>
      <c r="B350" s="201" t="s">
        <v>583</v>
      </c>
      <c r="C350" s="201" t="s">
        <v>239</v>
      </c>
      <c r="D350" s="201" t="s">
        <v>320</v>
      </c>
      <c r="E350" s="202">
        <v>78750</v>
      </c>
    </row>
    <row r="351" spans="1:5" ht="16.5" x14ac:dyDescent="0.3">
      <c r="A351" s="200">
        <v>25</v>
      </c>
      <c r="B351" s="201" t="s">
        <v>584</v>
      </c>
      <c r="C351" s="201" t="s">
        <v>239</v>
      </c>
      <c r="D351" s="201" t="s">
        <v>320</v>
      </c>
      <c r="E351" s="202">
        <v>72900</v>
      </c>
    </row>
    <row r="352" spans="1:5" ht="16.5" x14ac:dyDescent="0.3">
      <c r="A352" s="200">
        <v>26</v>
      </c>
      <c r="B352" s="201" t="s">
        <v>585</v>
      </c>
      <c r="C352" s="201" t="s">
        <v>239</v>
      </c>
      <c r="D352" s="201" t="s">
        <v>320</v>
      </c>
      <c r="E352" s="202">
        <v>70200</v>
      </c>
    </row>
    <row r="353" spans="1:5" ht="16.5" x14ac:dyDescent="0.3">
      <c r="A353" s="200">
        <v>27</v>
      </c>
      <c r="B353" s="201" t="s">
        <v>586</v>
      </c>
      <c r="C353" s="201" t="s">
        <v>239</v>
      </c>
      <c r="D353" s="201" t="s">
        <v>320</v>
      </c>
      <c r="E353" s="202">
        <v>66375</v>
      </c>
    </row>
    <row r="354" spans="1:5" ht="16.5" x14ac:dyDescent="0.3">
      <c r="A354" s="200">
        <v>28</v>
      </c>
      <c r="B354" s="201" t="s">
        <v>587</v>
      </c>
      <c r="C354" s="201" t="s">
        <v>239</v>
      </c>
      <c r="D354" s="201" t="s">
        <v>320</v>
      </c>
      <c r="E354" s="202">
        <v>60750</v>
      </c>
    </row>
    <row r="355" spans="1:5" ht="16.5" x14ac:dyDescent="0.3">
      <c r="A355" s="200">
        <v>29</v>
      </c>
      <c r="B355" s="201" t="s">
        <v>588</v>
      </c>
      <c r="C355" s="201" t="s">
        <v>239</v>
      </c>
      <c r="D355" s="201" t="s">
        <v>320</v>
      </c>
      <c r="E355" s="202">
        <v>55125</v>
      </c>
    </row>
    <row r="356" spans="1:5" ht="16.5" x14ac:dyDescent="0.3">
      <c r="A356" s="200">
        <v>30</v>
      </c>
      <c r="B356" s="201" t="s">
        <v>589</v>
      </c>
      <c r="C356" s="201" t="s">
        <v>239</v>
      </c>
      <c r="D356" s="201" t="s">
        <v>320</v>
      </c>
      <c r="E356" s="202">
        <v>46125</v>
      </c>
    </row>
    <row r="357" spans="1:5" ht="16.5" x14ac:dyDescent="0.3">
      <c r="A357" s="200">
        <v>31</v>
      </c>
      <c r="B357" s="201" t="s">
        <v>590</v>
      </c>
      <c r="C357" s="201" t="s">
        <v>239</v>
      </c>
      <c r="D357" s="201" t="s">
        <v>320</v>
      </c>
      <c r="E357" s="202">
        <v>39600</v>
      </c>
    </row>
    <row r="358" spans="1:5" ht="16.5" x14ac:dyDescent="0.3">
      <c r="A358" s="200">
        <v>32</v>
      </c>
      <c r="B358" s="201" t="s">
        <v>591</v>
      </c>
      <c r="C358" s="201" t="s">
        <v>239</v>
      </c>
      <c r="D358" s="201" t="s">
        <v>320</v>
      </c>
      <c r="E358" s="202">
        <v>36000</v>
      </c>
    </row>
    <row r="359" spans="1:5" ht="16.5" x14ac:dyDescent="0.3">
      <c r="A359" s="200">
        <v>33</v>
      </c>
      <c r="B359" s="201" t="s">
        <v>592</v>
      </c>
      <c r="C359" s="201" t="s">
        <v>239</v>
      </c>
      <c r="D359" s="201" t="s">
        <v>320</v>
      </c>
      <c r="E359" s="202">
        <v>81000</v>
      </c>
    </row>
    <row r="360" spans="1:5" ht="16.5" x14ac:dyDescent="0.3">
      <c r="A360" s="200">
        <v>34</v>
      </c>
      <c r="B360" s="201" t="s">
        <v>593</v>
      </c>
      <c r="C360" s="201" t="s">
        <v>239</v>
      </c>
      <c r="D360" s="201" t="s">
        <v>320</v>
      </c>
      <c r="E360" s="202">
        <v>76500</v>
      </c>
    </row>
    <row r="361" spans="1:5" ht="16.5" x14ac:dyDescent="0.3">
      <c r="A361" s="200">
        <v>35</v>
      </c>
      <c r="B361" s="201" t="s">
        <v>594</v>
      </c>
      <c r="C361" s="201" t="s">
        <v>239</v>
      </c>
      <c r="D361" s="201" t="s">
        <v>320</v>
      </c>
      <c r="E361" s="202">
        <v>69750</v>
      </c>
    </row>
    <row r="362" spans="1:5" ht="16.5" x14ac:dyDescent="0.3">
      <c r="A362" s="200">
        <v>36</v>
      </c>
      <c r="B362" s="201" t="s">
        <v>595</v>
      </c>
      <c r="C362" s="201" t="s">
        <v>239</v>
      </c>
      <c r="D362" s="201" t="s">
        <v>320</v>
      </c>
      <c r="E362" s="202">
        <v>63000</v>
      </c>
    </row>
    <row r="363" spans="1:5" ht="16.5" x14ac:dyDescent="0.3">
      <c r="A363" s="200">
        <v>37</v>
      </c>
      <c r="B363" s="201" t="s">
        <v>596</v>
      </c>
      <c r="C363" s="201" t="s">
        <v>239</v>
      </c>
      <c r="D363" s="201" t="s">
        <v>320</v>
      </c>
      <c r="E363" s="202">
        <v>63000</v>
      </c>
    </row>
    <row r="364" spans="1:5" ht="16.5" x14ac:dyDescent="0.3">
      <c r="A364" s="200">
        <v>38</v>
      </c>
      <c r="B364" s="201" t="s">
        <v>597</v>
      </c>
      <c r="C364" s="201" t="s">
        <v>239</v>
      </c>
      <c r="D364" s="201" t="s">
        <v>320</v>
      </c>
      <c r="E364" s="202">
        <v>43650</v>
      </c>
    </row>
    <row r="365" spans="1:5" ht="16.5" x14ac:dyDescent="0.3">
      <c r="A365" s="200">
        <v>39</v>
      </c>
      <c r="B365" s="201" t="s">
        <v>598</v>
      </c>
      <c r="C365" s="201" t="s">
        <v>239</v>
      </c>
      <c r="D365" s="201" t="s">
        <v>320</v>
      </c>
      <c r="E365" s="202">
        <v>59400</v>
      </c>
    </row>
    <row r="366" spans="1:5" ht="16.5" x14ac:dyDescent="0.3">
      <c r="A366" s="200">
        <v>40</v>
      </c>
      <c r="B366" s="201" t="s">
        <v>599</v>
      </c>
      <c r="C366" s="201" t="s">
        <v>239</v>
      </c>
      <c r="D366" s="201" t="s">
        <v>320</v>
      </c>
      <c r="E366" s="202">
        <v>59400</v>
      </c>
    </row>
    <row r="367" spans="1:5" ht="16.5" x14ac:dyDescent="0.3">
      <c r="A367" s="200">
        <v>41</v>
      </c>
      <c r="B367" s="201" t="s">
        <v>600</v>
      </c>
      <c r="C367" s="201" t="s">
        <v>239</v>
      </c>
      <c r="D367" s="201" t="s">
        <v>269</v>
      </c>
      <c r="E367" s="202">
        <v>4095</v>
      </c>
    </row>
    <row r="368" spans="1:5" ht="16.5" x14ac:dyDescent="0.3">
      <c r="A368" s="200">
        <v>42</v>
      </c>
      <c r="B368" s="201" t="s">
        <v>601</v>
      </c>
      <c r="C368" s="201" t="s">
        <v>239</v>
      </c>
      <c r="D368" s="201" t="s">
        <v>269</v>
      </c>
      <c r="E368" s="202">
        <v>37125</v>
      </c>
    </row>
    <row r="369" spans="1:5" ht="16.5" x14ac:dyDescent="0.3">
      <c r="A369" s="200">
        <v>43</v>
      </c>
      <c r="B369" s="201" t="s">
        <v>602</v>
      </c>
      <c r="C369" s="201" t="s">
        <v>239</v>
      </c>
      <c r="D369" s="201" t="s">
        <v>269</v>
      </c>
      <c r="E369" s="202">
        <v>7110</v>
      </c>
    </row>
    <row r="370" spans="1:5" ht="16.5" x14ac:dyDescent="0.3">
      <c r="A370" s="200">
        <v>44</v>
      </c>
      <c r="B370" s="201" t="s">
        <v>603</v>
      </c>
      <c r="C370" s="201"/>
      <c r="D370" s="201" t="s">
        <v>269</v>
      </c>
      <c r="E370" s="202">
        <v>157500</v>
      </c>
    </row>
    <row r="371" spans="1:5" ht="16.5" x14ac:dyDescent="0.3">
      <c r="A371" s="200">
        <v>45</v>
      </c>
      <c r="B371" s="201" t="s">
        <v>604</v>
      </c>
      <c r="C371" s="201" t="s">
        <v>239</v>
      </c>
      <c r="D371" s="201" t="s">
        <v>269</v>
      </c>
      <c r="E371" s="202">
        <v>58500</v>
      </c>
    </row>
    <row r="372" spans="1:5" ht="16.5" x14ac:dyDescent="0.3">
      <c r="A372" s="200">
        <v>46</v>
      </c>
      <c r="B372" s="201" t="s">
        <v>605</v>
      </c>
      <c r="C372" s="201" t="s">
        <v>239</v>
      </c>
      <c r="D372" s="201" t="s">
        <v>320</v>
      </c>
      <c r="E372" s="202">
        <v>123187.5</v>
      </c>
    </row>
    <row r="373" spans="1:5" ht="16.5" x14ac:dyDescent="0.3">
      <c r="A373" s="200">
        <v>47</v>
      </c>
      <c r="B373" s="201" t="s">
        <v>606</v>
      </c>
      <c r="C373" s="201" t="s">
        <v>239</v>
      </c>
      <c r="D373" s="201" t="s">
        <v>320</v>
      </c>
      <c r="E373" s="202">
        <v>50737.5</v>
      </c>
    </row>
    <row r="374" spans="1:5" ht="16.5" x14ac:dyDescent="0.3">
      <c r="A374" s="200">
        <v>48</v>
      </c>
      <c r="B374" s="201" t="s">
        <v>607</v>
      </c>
      <c r="C374" s="201" t="s">
        <v>239</v>
      </c>
      <c r="D374" s="201" t="s">
        <v>269</v>
      </c>
      <c r="E374" s="202">
        <v>42300</v>
      </c>
    </row>
    <row r="375" spans="1:5" ht="16.5" x14ac:dyDescent="0.3">
      <c r="A375" s="200">
        <v>49</v>
      </c>
      <c r="B375" s="201" t="s">
        <v>608</v>
      </c>
      <c r="C375" s="201" t="s">
        <v>239</v>
      </c>
      <c r="D375" s="201" t="s">
        <v>269</v>
      </c>
      <c r="E375" s="202">
        <v>47250</v>
      </c>
    </row>
    <row r="376" spans="1:5" ht="16.5" x14ac:dyDescent="0.3">
      <c r="A376" s="200"/>
      <c r="B376" s="201"/>
      <c r="C376" s="201"/>
      <c r="D376" s="201"/>
      <c r="E376" s="202"/>
    </row>
    <row r="377" spans="1:5" ht="16.5" x14ac:dyDescent="0.3">
      <c r="A377" s="203" t="s">
        <v>239</v>
      </c>
      <c r="B377" s="204" t="s">
        <v>609</v>
      </c>
      <c r="C377" s="204"/>
      <c r="D377" s="204"/>
      <c r="E377" s="205"/>
    </row>
    <row r="378" spans="1:5" ht="16.5" x14ac:dyDescent="0.3">
      <c r="A378" s="200">
        <v>1</v>
      </c>
      <c r="B378" s="201" t="s">
        <v>610</v>
      </c>
      <c r="C378" s="201" t="s">
        <v>239</v>
      </c>
      <c r="D378" s="201" t="s">
        <v>320</v>
      </c>
      <c r="E378" s="202">
        <v>4500</v>
      </c>
    </row>
    <row r="379" spans="1:5" ht="16.5" x14ac:dyDescent="0.3">
      <c r="A379" s="200">
        <v>2</v>
      </c>
      <c r="B379" s="201" t="s">
        <v>611</v>
      </c>
      <c r="C379" s="201" t="s">
        <v>239</v>
      </c>
      <c r="D379" s="201" t="s">
        <v>320</v>
      </c>
      <c r="E379" s="202">
        <v>8100</v>
      </c>
    </row>
    <row r="380" spans="1:5" ht="16.5" x14ac:dyDescent="0.3">
      <c r="A380" s="200">
        <v>3</v>
      </c>
      <c r="B380" s="201" t="s">
        <v>612</v>
      </c>
      <c r="C380" s="201" t="s">
        <v>239</v>
      </c>
      <c r="D380" s="201" t="s">
        <v>320</v>
      </c>
      <c r="E380" s="202">
        <v>13837.5</v>
      </c>
    </row>
    <row r="381" spans="1:5" ht="16.5" x14ac:dyDescent="0.3">
      <c r="A381" s="200">
        <v>4</v>
      </c>
      <c r="B381" s="201" t="s">
        <v>613</v>
      </c>
      <c r="C381" s="201" t="s">
        <v>239</v>
      </c>
      <c r="D381" s="201" t="s">
        <v>320</v>
      </c>
      <c r="E381" s="202">
        <v>48899.700000000004</v>
      </c>
    </row>
    <row r="382" spans="1:5" ht="16.5" x14ac:dyDescent="0.3">
      <c r="A382" s="200">
        <v>5</v>
      </c>
      <c r="B382" s="201" t="s">
        <v>614</v>
      </c>
      <c r="C382" s="201" t="s">
        <v>239</v>
      </c>
      <c r="D382" s="201" t="s">
        <v>320</v>
      </c>
      <c r="E382" s="202">
        <v>68850</v>
      </c>
    </row>
    <row r="383" spans="1:5" ht="16.5" x14ac:dyDescent="0.3">
      <c r="A383" s="200">
        <v>6</v>
      </c>
      <c r="B383" s="201" t="s">
        <v>615</v>
      </c>
      <c r="C383" s="201" t="s">
        <v>239</v>
      </c>
      <c r="D383" s="201" t="s">
        <v>320</v>
      </c>
      <c r="E383" s="202">
        <v>12449.7</v>
      </c>
    </row>
    <row r="384" spans="1:5" ht="16.5" x14ac:dyDescent="0.3">
      <c r="A384" s="200">
        <v>7</v>
      </c>
      <c r="B384" s="201" t="s">
        <v>616</v>
      </c>
      <c r="C384" s="201" t="s">
        <v>239</v>
      </c>
      <c r="D384" s="201" t="s">
        <v>320</v>
      </c>
      <c r="E384" s="202">
        <v>14099.4</v>
      </c>
    </row>
    <row r="385" spans="1:5" ht="16.5" x14ac:dyDescent="0.3">
      <c r="A385" s="200">
        <v>8</v>
      </c>
      <c r="B385" s="201" t="s">
        <v>617</v>
      </c>
      <c r="C385" s="201" t="s">
        <v>239</v>
      </c>
      <c r="D385" s="201" t="s">
        <v>14</v>
      </c>
      <c r="E385" s="202">
        <v>117000</v>
      </c>
    </row>
    <row r="386" spans="1:5" ht="16.5" x14ac:dyDescent="0.3">
      <c r="A386" s="200">
        <v>9</v>
      </c>
      <c r="B386" s="201" t="s">
        <v>618</v>
      </c>
      <c r="C386" s="201" t="s">
        <v>239</v>
      </c>
      <c r="D386" s="201" t="s">
        <v>14</v>
      </c>
      <c r="E386" s="202">
        <v>90000</v>
      </c>
    </row>
    <row r="387" spans="1:5" ht="16.5" x14ac:dyDescent="0.3">
      <c r="A387" s="200">
        <v>10</v>
      </c>
      <c r="B387" s="201" t="s">
        <v>619</v>
      </c>
      <c r="C387" s="201" t="s">
        <v>239</v>
      </c>
      <c r="D387" s="201" t="s">
        <v>14</v>
      </c>
      <c r="E387" s="202">
        <v>49500</v>
      </c>
    </row>
    <row r="388" spans="1:5" ht="16.5" x14ac:dyDescent="0.3">
      <c r="A388" s="200">
        <v>11</v>
      </c>
      <c r="B388" s="201" t="s">
        <v>620</v>
      </c>
      <c r="C388" s="201" t="s">
        <v>239</v>
      </c>
      <c r="D388" s="201" t="s">
        <v>16</v>
      </c>
      <c r="E388" s="202">
        <v>10800</v>
      </c>
    </row>
    <row r="389" spans="1:5" ht="16.5" x14ac:dyDescent="0.3">
      <c r="A389" s="200"/>
      <c r="B389" s="201"/>
      <c r="C389" s="201"/>
      <c r="D389" s="201"/>
      <c r="E389" s="202"/>
    </row>
    <row r="390" spans="1:5" ht="16.5" x14ac:dyDescent="0.3">
      <c r="A390" s="203" t="s">
        <v>239</v>
      </c>
      <c r="B390" s="204" t="s">
        <v>621</v>
      </c>
      <c r="C390" s="204"/>
      <c r="D390" s="204"/>
      <c r="E390" s="205"/>
    </row>
    <row r="391" spans="1:5" ht="16.5" x14ac:dyDescent="0.3">
      <c r="A391" s="200">
        <v>1</v>
      </c>
      <c r="B391" s="201" t="s">
        <v>622</v>
      </c>
      <c r="C391" s="201" t="s">
        <v>239</v>
      </c>
      <c r="D391" s="201" t="s">
        <v>269</v>
      </c>
      <c r="E391" s="202">
        <v>6300</v>
      </c>
    </row>
    <row r="392" spans="1:5" ht="16.5" x14ac:dyDescent="0.3">
      <c r="A392" s="200">
        <v>2</v>
      </c>
      <c r="B392" s="201" t="s">
        <v>623</v>
      </c>
      <c r="C392" s="201" t="s">
        <v>239</v>
      </c>
      <c r="D392" s="201" t="s">
        <v>269</v>
      </c>
      <c r="E392" s="202">
        <v>1665</v>
      </c>
    </row>
    <row r="393" spans="1:5" ht="16.5" x14ac:dyDescent="0.3">
      <c r="A393" s="200">
        <v>3</v>
      </c>
      <c r="B393" s="201" t="s">
        <v>624</v>
      </c>
      <c r="C393" s="201" t="s">
        <v>239</v>
      </c>
      <c r="D393" s="201" t="s">
        <v>269</v>
      </c>
      <c r="E393" s="202">
        <v>2227.5</v>
      </c>
    </row>
    <row r="394" spans="1:5" ht="16.5" x14ac:dyDescent="0.3">
      <c r="A394" s="200">
        <v>4</v>
      </c>
      <c r="B394" s="201" t="s">
        <v>625</v>
      </c>
      <c r="C394" s="201" t="s">
        <v>239</v>
      </c>
      <c r="D394" s="201" t="s">
        <v>269</v>
      </c>
      <c r="E394" s="202">
        <v>2525.4</v>
      </c>
    </row>
    <row r="395" spans="1:5" ht="16.5" x14ac:dyDescent="0.3">
      <c r="A395" s="200">
        <v>5</v>
      </c>
      <c r="B395" s="201" t="s">
        <v>626</v>
      </c>
      <c r="C395" s="201" t="s">
        <v>239</v>
      </c>
      <c r="D395" s="201" t="s">
        <v>269</v>
      </c>
      <c r="E395" s="202">
        <v>3807</v>
      </c>
    </row>
    <row r="396" spans="1:5" ht="16.5" x14ac:dyDescent="0.3">
      <c r="A396" s="200">
        <v>6</v>
      </c>
      <c r="B396" s="201" t="s">
        <v>627</v>
      </c>
      <c r="C396" s="201" t="s">
        <v>239</v>
      </c>
      <c r="D396" s="201" t="s">
        <v>269</v>
      </c>
      <c r="E396" s="202">
        <v>7632</v>
      </c>
    </row>
    <row r="397" spans="1:5" ht="16.5" x14ac:dyDescent="0.3">
      <c r="A397" s="200">
        <v>7</v>
      </c>
      <c r="B397" s="201" t="s">
        <v>628</v>
      </c>
      <c r="C397" s="201"/>
      <c r="D397" s="201" t="s">
        <v>269</v>
      </c>
      <c r="E397" s="202">
        <v>32249.7</v>
      </c>
    </row>
    <row r="398" spans="1:5" ht="16.5" x14ac:dyDescent="0.3">
      <c r="A398" s="200">
        <v>8</v>
      </c>
      <c r="B398" s="201" t="s">
        <v>629</v>
      </c>
      <c r="C398" s="201" t="s">
        <v>239</v>
      </c>
      <c r="D398" s="201" t="s">
        <v>269</v>
      </c>
      <c r="E398" s="202">
        <v>17181</v>
      </c>
    </row>
    <row r="399" spans="1:5" ht="16.5" x14ac:dyDescent="0.3">
      <c r="A399" s="200">
        <v>9</v>
      </c>
      <c r="B399" s="201" t="s">
        <v>630</v>
      </c>
      <c r="C399" s="201" t="s">
        <v>239</v>
      </c>
      <c r="D399" s="201" t="s">
        <v>14</v>
      </c>
      <c r="E399" s="202">
        <v>180000</v>
      </c>
    </row>
    <row r="400" spans="1:5" ht="16.5" x14ac:dyDescent="0.3">
      <c r="A400" s="200">
        <v>10</v>
      </c>
      <c r="B400" s="201" t="s">
        <v>631</v>
      </c>
      <c r="C400" s="201" t="s">
        <v>239</v>
      </c>
      <c r="D400" s="201" t="s">
        <v>269</v>
      </c>
      <c r="E400" s="202">
        <v>33750</v>
      </c>
    </row>
    <row r="401" spans="1:5" ht="16.5" x14ac:dyDescent="0.3">
      <c r="A401" s="200">
        <v>11</v>
      </c>
      <c r="B401" s="201" t="s">
        <v>632</v>
      </c>
      <c r="C401" s="201" t="s">
        <v>239</v>
      </c>
      <c r="D401" s="201" t="s">
        <v>269</v>
      </c>
      <c r="E401" s="202">
        <v>22500</v>
      </c>
    </row>
    <row r="402" spans="1:5" ht="16.5" x14ac:dyDescent="0.3">
      <c r="A402" s="200">
        <v>12</v>
      </c>
      <c r="B402" s="201" t="s">
        <v>633</v>
      </c>
      <c r="C402" s="201" t="s">
        <v>239</v>
      </c>
      <c r="D402" s="201" t="s">
        <v>269</v>
      </c>
      <c r="E402" s="202">
        <v>5024.7</v>
      </c>
    </row>
    <row r="403" spans="1:5" ht="16.5" x14ac:dyDescent="0.3">
      <c r="A403" s="200">
        <v>13</v>
      </c>
      <c r="B403" s="201" t="s">
        <v>634</v>
      </c>
      <c r="C403" s="201" t="s">
        <v>239</v>
      </c>
      <c r="D403" s="201" t="s">
        <v>269</v>
      </c>
      <c r="E403" s="202">
        <v>3299.4</v>
      </c>
    </row>
    <row r="404" spans="1:5" ht="16.5" x14ac:dyDescent="0.3">
      <c r="A404" s="200">
        <v>14</v>
      </c>
      <c r="B404" s="201" t="s">
        <v>635</v>
      </c>
      <c r="C404" s="201" t="s">
        <v>239</v>
      </c>
      <c r="D404" s="201" t="s">
        <v>269</v>
      </c>
      <c r="E404" s="202">
        <v>15975</v>
      </c>
    </row>
    <row r="405" spans="1:5" ht="16.5" x14ac:dyDescent="0.3">
      <c r="A405" s="200">
        <v>15</v>
      </c>
      <c r="B405" s="201" t="s">
        <v>636</v>
      </c>
      <c r="C405" s="201" t="s">
        <v>239</v>
      </c>
      <c r="D405" s="201" t="s">
        <v>269</v>
      </c>
      <c r="E405" s="202">
        <v>2587.5</v>
      </c>
    </row>
    <row r="406" spans="1:5" ht="16.5" x14ac:dyDescent="0.3">
      <c r="A406" s="200">
        <v>16</v>
      </c>
      <c r="B406" s="201" t="s">
        <v>637</v>
      </c>
      <c r="C406" s="201" t="s">
        <v>239</v>
      </c>
      <c r="D406" s="201" t="s">
        <v>14</v>
      </c>
      <c r="E406" s="202">
        <v>427500</v>
      </c>
    </row>
    <row r="407" spans="1:5" ht="16.5" x14ac:dyDescent="0.3">
      <c r="A407" s="200">
        <v>17</v>
      </c>
      <c r="B407" s="201" t="s">
        <v>638</v>
      </c>
      <c r="C407" s="201" t="s">
        <v>239</v>
      </c>
      <c r="D407" s="201" t="s">
        <v>14</v>
      </c>
      <c r="E407" s="202">
        <v>180000</v>
      </c>
    </row>
    <row r="408" spans="1:5" ht="16.5" x14ac:dyDescent="0.3">
      <c r="A408" s="200">
        <v>18</v>
      </c>
      <c r="B408" s="201" t="s">
        <v>639</v>
      </c>
      <c r="C408" s="201" t="s">
        <v>239</v>
      </c>
      <c r="D408" s="201" t="s">
        <v>14</v>
      </c>
      <c r="E408" s="202">
        <v>12375</v>
      </c>
    </row>
    <row r="409" spans="1:5" ht="16.5" x14ac:dyDescent="0.25">
      <c r="A409" s="206"/>
      <c r="B409" s="207" t="s">
        <v>640</v>
      </c>
      <c r="C409" s="208"/>
      <c r="D409" s="209"/>
      <c r="E409" s="210"/>
    </row>
    <row r="410" spans="1:5" ht="16.5" x14ac:dyDescent="0.25">
      <c r="A410" s="211">
        <v>1</v>
      </c>
      <c r="B410" s="212" t="s">
        <v>641</v>
      </c>
      <c r="C410" s="209"/>
      <c r="D410" s="213" t="s">
        <v>14</v>
      </c>
      <c r="E410" s="214">
        <v>73200</v>
      </c>
    </row>
    <row r="411" spans="1:5" ht="16.5" x14ac:dyDescent="0.25">
      <c r="A411" s="211">
        <f t="shared" ref="A411:A442" si="0">A410+1</f>
        <v>2</v>
      </c>
      <c r="B411" s="212" t="s">
        <v>642</v>
      </c>
      <c r="C411" s="209"/>
      <c r="D411" s="213" t="s">
        <v>14</v>
      </c>
      <c r="E411" s="214">
        <v>67500</v>
      </c>
    </row>
    <row r="412" spans="1:5" ht="16.5" x14ac:dyDescent="0.25">
      <c r="A412" s="211">
        <f t="shared" si="0"/>
        <v>3</v>
      </c>
      <c r="B412" s="212" t="s">
        <v>643</v>
      </c>
      <c r="C412" s="209"/>
      <c r="D412" s="213" t="s">
        <v>14</v>
      </c>
      <c r="E412" s="214">
        <v>67500</v>
      </c>
    </row>
    <row r="413" spans="1:5" ht="16.5" x14ac:dyDescent="0.25">
      <c r="A413" s="211">
        <f t="shared" si="0"/>
        <v>4</v>
      </c>
      <c r="B413" s="212" t="s">
        <v>644</v>
      </c>
      <c r="C413" s="209"/>
      <c r="D413" s="213" t="s">
        <v>14</v>
      </c>
      <c r="E413" s="214">
        <v>67500</v>
      </c>
    </row>
    <row r="414" spans="1:5" ht="16.5" x14ac:dyDescent="0.25">
      <c r="A414" s="211">
        <f t="shared" si="0"/>
        <v>5</v>
      </c>
      <c r="B414" s="212" t="s">
        <v>645</v>
      </c>
      <c r="C414" s="209"/>
      <c r="D414" s="213" t="s">
        <v>14</v>
      </c>
      <c r="E414" s="214">
        <v>72500</v>
      </c>
    </row>
    <row r="415" spans="1:5" ht="16.5" x14ac:dyDescent="0.25">
      <c r="A415" s="211">
        <f t="shared" si="0"/>
        <v>6</v>
      </c>
      <c r="B415" s="212" t="s">
        <v>646</v>
      </c>
      <c r="C415" s="209"/>
      <c r="D415" s="213" t="s">
        <v>14</v>
      </c>
      <c r="E415" s="214">
        <v>193000</v>
      </c>
    </row>
    <row r="416" spans="1:5" ht="16.5" x14ac:dyDescent="0.25">
      <c r="A416" s="211">
        <f t="shared" si="0"/>
        <v>7</v>
      </c>
      <c r="B416" s="212" t="s">
        <v>647</v>
      </c>
      <c r="C416" s="209"/>
      <c r="D416" s="213" t="s">
        <v>14</v>
      </c>
      <c r="E416" s="214">
        <v>140000</v>
      </c>
    </row>
    <row r="417" spans="1:5" ht="16.5" x14ac:dyDescent="0.25">
      <c r="A417" s="211">
        <f t="shared" si="0"/>
        <v>8</v>
      </c>
      <c r="B417" s="212" t="s">
        <v>648</v>
      </c>
      <c r="C417" s="209"/>
      <c r="D417" s="213" t="s">
        <v>14</v>
      </c>
      <c r="E417" s="214">
        <v>155000</v>
      </c>
    </row>
    <row r="418" spans="1:5" ht="16.5" x14ac:dyDescent="0.25">
      <c r="A418" s="211">
        <f t="shared" si="0"/>
        <v>9</v>
      </c>
      <c r="B418" s="212" t="s">
        <v>649</v>
      </c>
      <c r="C418" s="209"/>
      <c r="D418" s="213" t="s">
        <v>14</v>
      </c>
      <c r="E418" s="214">
        <v>90000</v>
      </c>
    </row>
    <row r="419" spans="1:5" ht="16.5" x14ac:dyDescent="0.25">
      <c r="A419" s="211">
        <f t="shared" si="0"/>
        <v>10</v>
      </c>
      <c r="B419" s="212" t="s">
        <v>650</v>
      </c>
      <c r="C419" s="209"/>
      <c r="D419" s="213" t="s">
        <v>14</v>
      </c>
      <c r="E419" s="214">
        <v>140000</v>
      </c>
    </row>
    <row r="420" spans="1:5" ht="16.5" x14ac:dyDescent="0.25">
      <c r="A420" s="211">
        <f t="shared" si="0"/>
        <v>11</v>
      </c>
      <c r="B420" s="212" t="s">
        <v>651</v>
      </c>
      <c r="C420" s="209"/>
      <c r="D420" s="213" t="s">
        <v>14</v>
      </c>
      <c r="E420" s="214">
        <v>140000</v>
      </c>
    </row>
    <row r="421" spans="1:5" ht="16.5" x14ac:dyDescent="0.25">
      <c r="A421" s="211"/>
      <c r="B421" s="212"/>
      <c r="C421" s="209"/>
      <c r="D421" s="213"/>
      <c r="E421" s="214"/>
    </row>
    <row r="422" spans="1:5" ht="16.5" x14ac:dyDescent="0.25">
      <c r="A422" s="206"/>
      <c r="B422" s="207" t="s">
        <v>652</v>
      </c>
      <c r="C422" s="208"/>
      <c r="D422" s="209"/>
      <c r="E422" s="210"/>
    </row>
    <row r="423" spans="1:5" ht="16.5" x14ac:dyDescent="0.25">
      <c r="A423" s="211">
        <v>1</v>
      </c>
      <c r="B423" s="215" t="s">
        <v>653</v>
      </c>
      <c r="C423" s="215"/>
      <c r="D423" s="213" t="s">
        <v>14</v>
      </c>
      <c r="E423" s="214">
        <v>105000</v>
      </c>
    </row>
    <row r="424" spans="1:5" ht="16.5" x14ac:dyDescent="0.25">
      <c r="A424" s="211">
        <f t="shared" si="0"/>
        <v>2</v>
      </c>
      <c r="B424" s="212" t="s">
        <v>654</v>
      </c>
      <c r="C424" s="209"/>
      <c r="D424" s="213" t="s">
        <v>14</v>
      </c>
      <c r="E424" s="214">
        <v>89000</v>
      </c>
    </row>
    <row r="425" spans="1:5" ht="16.5" x14ac:dyDescent="0.25">
      <c r="A425" s="211">
        <f t="shared" si="0"/>
        <v>3</v>
      </c>
      <c r="B425" s="212" t="s">
        <v>655</v>
      </c>
      <c r="C425" s="209"/>
      <c r="D425" s="213" t="s">
        <v>14</v>
      </c>
      <c r="E425" s="214">
        <v>103000</v>
      </c>
    </row>
    <row r="426" spans="1:5" ht="16.5" x14ac:dyDescent="0.25">
      <c r="A426" s="211">
        <f t="shared" si="0"/>
        <v>4</v>
      </c>
      <c r="B426" s="212" t="s">
        <v>656</v>
      </c>
      <c r="C426" s="209"/>
      <c r="D426" s="213" t="s">
        <v>14</v>
      </c>
      <c r="E426" s="214">
        <v>95000</v>
      </c>
    </row>
    <row r="427" spans="1:5" ht="16.5" x14ac:dyDescent="0.25">
      <c r="A427" s="211">
        <f t="shared" si="0"/>
        <v>5</v>
      </c>
      <c r="B427" s="212" t="s">
        <v>657</v>
      </c>
      <c r="C427" s="209"/>
      <c r="D427" s="213" t="s">
        <v>14</v>
      </c>
      <c r="E427" s="214">
        <v>84000</v>
      </c>
    </row>
    <row r="428" spans="1:5" ht="16.5" x14ac:dyDescent="0.25">
      <c r="A428" s="211">
        <f t="shared" si="0"/>
        <v>6</v>
      </c>
      <c r="B428" s="212" t="s">
        <v>658</v>
      </c>
      <c r="C428" s="209"/>
      <c r="D428" s="213" t="s">
        <v>14</v>
      </c>
      <c r="E428" s="214">
        <v>84000</v>
      </c>
    </row>
    <row r="429" spans="1:5" ht="16.5" x14ac:dyDescent="0.25">
      <c r="A429" s="211">
        <f t="shared" si="0"/>
        <v>7</v>
      </c>
      <c r="B429" s="215" t="s">
        <v>659</v>
      </c>
      <c r="C429" s="215"/>
      <c r="D429" s="213" t="s">
        <v>14</v>
      </c>
      <c r="E429" s="214">
        <v>84000</v>
      </c>
    </row>
    <row r="430" spans="1:5" ht="16.5" x14ac:dyDescent="0.25">
      <c r="A430" s="211">
        <f t="shared" si="0"/>
        <v>8</v>
      </c>
      <c r="B430" s="212" t="s">
        <v>660</v>
      </c>
      <c r="C430" s="209"/>
      <c r="D430" s="213" t="s">
        <v>14</v>
      </c>
      <c r="E430" s="214">
        <v>90000</v>
      </c>
    </row>
    <row r="431" spans="1:5" ht="16.5" x14ac:dyDescent="0.25">
      <c r="A431" s="211">
        <f t="shared" si="0"/>
        <v>9</v>
      </c>
      <c r="B431" s="212" t="s">
        <v>661</v>
      </c>
      <c r="C431" s="209"/>
      <c r="D431" s="213" t="s">
        <v>14</v>
      </c>
      <c r="E431" s="214">
        <f>1.1*84000</f>
        <v>92400.000000000015</v>
      </c>
    </row>
    <row r="432" spans="1:5" ht="16.5" x14ac:dyDescent="0.25">
      <c r="A432" s="211">
        <f>A430+1</f>
        <v>9</v>
      </c>
      <c r="B432" s="212" t="s">
        <v>662</v>
      </c>
      <c r="C432" s="209"/>
      <c r="D432" s="213" t="s">
        <v>14</v>
      </c>
      <c r="E432" s="214">
        <v>79000</v>
      </c>
    </row>
    <row r="433" spans="1:5" ht="16.5" x14ac:dyDescent="0.25">
      <c r="A433" s="211">
        <f t="shared" si="0"/>
        <v>10</v>
      </c>
      <c r="B433" s="212" t="s">
        <v>663</v>
      </c>
      <c r="C433" s="209"/>
      <c r="D433" s="213" t="s">
        <v>14</v>
      </c>
      <c r="E433" s="214">
        <v>76000</v>
      </c>
    </row>
    <row r="434" spans="1:5" ht="16.5" x14ac:dyDescent="0.25">
      <c r="A434" s="211">
        <f t="shared" si="0"/>
        <v>11</v>
      </c>
      <c r="B434" s="212" t="s">
        <v>664</v>
      </c>
      <c r="C434" s="209"/>
      <c r="D434" s="213" t="s">
        <v>25</v>
      </c>
      <c r="E434" s="214">
        <f>(1.1*83000)/35</f>
        <v>2608.5714285714289</v>
      </c>
    </row>
    <row r="435" spans="1:5" ht="16.5" x14ac:dyDescent="0.25">
      <c r="A435" s="211">
        <f t="shared" si="0"/>
        <v>12</v>
      </c>
      <c r="B435" s="212" t="s">
        <v>665</v>
      </c>
      <c r="C435" s="209"/>
      <c r="D435" s="213" t="s">
        <v>25</v>
      </c>
      <c r="E435" s="214">
        <v>43600</v>
      </c>
    </row>
    <row r="436" spans="1:5" ht="16.5" x14ac:dyDescent="0.25">
      <c r="A436" s="211">
        <f t="shared" si="0"/>
        <v>13</v>
      </c>
      <c r="B436" s="212" t="s">
        <v>666</v>
      </c>
      <c r="C436" s="209"/>
      <c r="D436" s="213" t="s">
        <v>14</v>
      </c>
      <c r="E436" s="214">
        <f>84000</f>
        <v>84000</v>
      </c>
    </row>
    <row r="437" spans="1:5" ht="16.5" x14ac:dyDescent="0.25">
      <c r="A437" s="211">
        <f t="shared" si="0"/>
        <v>14</v>
      </c>
      <c r="B437" s="212" t="s">
        <v>667</v>
      </c>
      <c r="C437" s="209"/>
      <c r="D437" s="213" t="s">
        <v>14</v>
      </c>
      <c r="E437" s="214">
        <f>1.1*83000</f>
        <v>91300.000000000015</v>
      </c>
    </row>
    <row r="438" spans="1:5" ht="16.5" x14ac:dyDescent="0.25">
      <c r="A438" s="211">
        <f t="shared" si="0"/>
        <v>15</v>
      </c>
      <c r="B438" s="212" t="s">
        <v>668</v>
      </c>
      <c r="C438" s="209"/>
      <c r="D438" s="213" t="s">
        <v>14</v>
      </c>
      <c r="E438" s="214">
        <f>264000</f>
        <v>264000</v>
      </c>
    </row>
    <row r="439" spans="1:5" ht="16.5" x14ac:dyDescent="0.25">
      <c r="A439" s="211">
        <f t="shared" si="0"/>
        <v>16</v>
      </c>
      <c r="B439" s="212" t="s">
        <v>669</v>
      </c>
      <c r="C439" s="209"/>
      <c r="D439" s="213" t="s">
        <v>14</v>
      </c>
      <c r="E439" s="214">
        <v>200000</v>
      </c>
    </row>
    <row r="440" spans="1:5" ht="16.5" x14ac:dyDescent="0.25">
      <c r="A440" s="211">
        <f t="shared" si="0"/>
        <v>17</v>
      </c>
      <c r="B440" s="212" t="s">
        <v>670</v>
      </c>
      <c r="C440" s="209"/>
      <c r="D440" s="213" t="s">
        <v>14</v>
      </c>
      <c r="E440" s="214">
        <v>282000</v>
      </c>
    </row>
    <row r="441" spans="1:5" ht="16.5" x14ac:dyDescent="0.25">
      <c r="A441" s="211">
        <f t="shared" si="0"/>
        <v>18</v>
      </c>
      <c r="B441" s="212" t="s">
        <v>671</v>
      </c>
      <c r="C441" s="208"/>
      <c r="D441" s="213" t="s">
        <v>14</v>
      </c>
      <c r="E441" s="214">
        <f>1.1*84000</f>
        <v>92400.000000000015</v>
      </c>
    </row>
    <row r="442" spans="1:5" ht="16.5" x14ac:dyDescent="0.25">
      <c r="A442" s="211">
        <f t="shared" si="0"/>
        <v>19</v>
      </c>
      <c r="B442" s="212" t="s">
        <v>672</v>
      </c>
      <c r="C442" s="208"/>
      <c r="D442" s="213" t="s">
        <v>14</v>
      </c>
      <c r="E442" s="214">
        <f>1.1*83000</f>
        <v>91300.000000000015</v>
      </c>
    </row>
    <row r="443" spans="1:5" ht="16.5" x14ac:dyDescent="0.25">
      <c r="A443" s="211">
        <v>20</v>
      </c>
      <c r="B443" s="212" t="s">
        <v>673</v>
      </c>
      <c r="C443" s="208"/>
      <c r="D443" s="213" t="s">
        <v>14</v>
      </c>
      <c r="E443" s="214">
        <v>264000</v>
      </c>
    </row>
    <row r="444" spans="1:5" ht="16.5" x14ac:dyDescent="0.25">
      <c r="A444" s="211"/>
      <c r="B444" s="212"/>
      <c r="C444" s="209"/>
      <c r="D444" s="213"/>
      <c r="E444" s="210"/>
    </row>
    <row r="445" spans="1:5" ht="16.5" x14ac:dyDescent="0.25">
      <c r="A445" s="206"/>
      <c r="B445" s="207" t="s">
        <v>674</v>
      </c>
      <c r="C445" s="208"/>
      <c r="D445" s="209"/>
      <c r="E445" s="210"/>
    </row>
    <row r="446" spans="1:5" ht="16.5" x14ac:dyDescent="0.25">
      <c r="A446" s="211">
        <v>1</v>
      </c>
      <c r="B446" s="212" t="s">
        <v>675</v>
      </c>
      <c r="C446" s="209"/>
      <c r="D446" s="213" t="s">
        <v>14</v>
      </c>
      <c r="E446" s="214">
        <f>1.1*268000</f>
        <v>294800</v>
      </c>
    </row>
    <row r="447" spans="1:5" ht="16.5" x14ac:dyDescent="0.25">
      <c r="A447" s="211">
        <v>2</v>
      </c>
      <c r="B447" s="212" t="s">
        <v>676</v>
      </c>
      <c r="C447" s="208"/>
      <c r="D447" s="213" t="s">
        <v>14</v>
      </c>
      <c r="E447" s="214">
        <f>1.1*268000</f>
        <v>294800</v>
      </c>
    </row>
    <row r="448" spans="1:5" ht="16.5" x14ac:dyDescent="0.25">
      <c r="A448" s="211">
        <v>3</v>
      </c>
      <c r="B448" s="212" t="s">
        <v>677</v>
      </c>
      <c r="C448" s="208"/>
      <c r="D448" s="213" t="s">
        <v>14</v>
      </c>
      <c r="E448" s="214">
        <f>1.1*250000</f>
        <v>275000</v>
      </c>
    </row>
    <row r="449" spans="1:5" ht="16.5" x14ac:dyDescent="0.25">
      <c r="A449" s="211">
        <v>4</v>
      </c>
      <c r="B449" s="212" t="s">
        <v>678</v>
      </c>
      <c r="C449" s="208"/>
      <c r="D449" s="213" t="s">
        <v>14</v>
      </c>
      <c r="E449" s="214">
        <f>1.1*268000</f>
        <v>294800</v>
      </c>
    </row>
    <row r="450" spans="1:5" ht="16.5" x14ac:dyDescent="0.25">
      <c r="A450" s="211">
        <v>5</v>
      </c>
      <c r="B450" s="212" t="s">
        <v>679</v>
      </c>
      <c r="C450" s="208"/>
      <c r="D450" s="213" t="s">
        <v>14</v>
      </c>
      <c r="E450" s="210">
        <f>1.1*250000</f>
        <v>275000</v>
      </c>
    </row>
    <row r="451" spans="1:5" ht="16.5" x14ac:dyDescent="0.25">
      <c r="A451" s="211">
        <v>6</v>
      </c>
      <c r="B451" s="212" t="s">
        <v>680</v>
      </c>
      <c r="C451" s="208"/>
      <c r="D451" s="213" t="s">
        <v>14</v>
      </c>
      <c r="E451" s="210">
        <f>1.1*250000</f>
        <v>275000</v>
      </c>
    </row>
    <row r="452" spans="1:5" ht="16.5" x14ac:dyDescent="0.25">
      <c r="A452" s="211">
        <v>7</v>
      </c>
      <c r="B452" s="212" t="s">
        <v>681</v>
      </c>
      <c r="C452" s="208"/>
      <c r="D452" s="213" t="s">
        <v>14</v>
      </c>
      <c r="E452" s="210">
        <f>1.1*249000</f>
        <v>273900</v>
      </c>
    </row>
    <row r="453" spans="1:5" ht="16.5" x14ac:dyDescent="0.25">
      <c r="A453" s="211">
        <v>8</v>
      </c>
      <c r="B453" s="212" t="s">
        <v>682</v>
      </c>
      <c r="C453" s="208"/>
      <c r="D453" s="213" t="s">
        <v>14</v>
      </c>
      <c r="E453" s="210">
        <f>1.1*188000</f>
        <v>206800.00000000003</v>
      </c>
    </row>
    <row r="454" spans="1:5" ht="16.5" x14ac:dyDescent="0.25">
      <c r="A454" s="211">
        <v>9</v>
      </c>
      <c r="B454" s="212" t="s">
        <v>683</v>
      </c>
      <c r="C454" s="208"/>
      <c r="D454" s="213" t="s">
        <v>14</v>
      </c>
      <c r="E454" s="214">
        <f>1.1*268000</f>
        <v>294800</v>
      </c>
    </row>
    <row r="455" spans="1:5" ht="16.5" x14ac:dyDescent="0.25">
      <c r="A455" s="211">
        <v>10</v>
      </c>
      <c r="B455" s="212" t="s">
        <v>684</v>
      </c>
      <c r="C455" s="208"/>
      <c r="D455" s="213" t="s">
        <v>14</v>
      </c>
      <c r="E455" s="210">
        <f>1.1*250000</f>
        <v>275000</v>
      </c>
    </row>
    <row r="456" spans="1:5" ht="16.5" x14ac:dyDescent="0.25">
      <c r="A456" s="211">
        <v>11</v>
      </c>
      <c r="B456" s="212" t="s">
        <v>685</v>
      </c>
      <c r="C456" s="208"/>
      <c r="D456" s="213" t="s">
        <v>14</v>
      </c>
      <c r="E456" s="210">
        <f>1.1*249000</f>
        <v>273900</v>
      </c>
    </row>
    <row r="457" spans="1:5" ht="16.5" x14ac:dyDescent="0.25">
      <c r="A457" s="211">
        <v>12</v>
      </c>
      <c r="B457" s="212" t="s">
        <v>686</v>
      </c>
      <c r="C457" s="208"/>
      <c r="D457" s="213" t="s">
        <v>25</v>
      </c>
      <c r="E457" s="214">
        <f>1.1*268000/(1/0.3*0.8)</f>
        <v>110549.99999999999</v>
      </c>
    </row>
    <row r="458" spans="1:5" ht="16.5" x14ac:dyDescent="0.25">
      <c r="A458" s="211">
        <v>13</v>
      </c>
      <c r="B458" s="212" t="s">
        <v>687</v>
      </c>
      <c r="C458" s="208"/>
      <c r="D458" s="213" t="s">
        <v>14</v>
      </c>
      <c r="E458" s="214">
        <f>1.1*165000</f>
        <v>181500.00000000003</v>
      </c>
    </row>
    <row r="459" spans="1:5" ht="16.5" x14ac:dyDescent="0.25">
      <c r="A459" s="211">
        <v>14</v>
      </c>
      <c r="B459" s="212" t="s">
        <v>688</v>
      </c>
      <c r="C459" s="208"/>
      <c r="D459" s="213" t="s">
        <v>14</v>
      </c>
      <c r="E459" s="214">
        <f>1.1*165000</f>
        <v>181500.00000000003</v>
      </c>
    </row>
    <row r="460" spans="1:5" ht="16.5" x14ac:dyDescent="0.25">
      <c r="A460" s="211"/>
      <c r="B460" s="212"/>
      <c r="C460" s="208"/>
      <c r="D460" s="213"/>
      <c r="E460" s="210"/>
    </row>
    <row r="461" spans="1:5" ht="16.5" x14ac:dyDescent="0.25">
      <c r="A461" s="206"/>
      <c r="B461" s="212"/>
      <c r="C461" s="208"/>
      <c r="D461" s="209"/>
      <c r="E461" s="210"/>
    </row>
    <row r="462" spans="1:5" ht="16.5" x14ac:dyDescent="0.25">
      <c r="A462" s="211">
        <v>1</v>
      </c>
      <c r="B462" s="212" t="s">
        <v>689</v>
      </c>
      <c r="C462" s="209"/>
      <c r="D462" s="213" t="s">
        <v>14</v>
      </c>
      <c r="E462" s="214">
        <v>390000</v>
      </c>
    </row>
    <row r="463" spans="1:5" ht="16.5" x14ac:dyDescent="0.25">
      <c r="A463" s="211">
        <f t="shared" ref="A463:A469" si="1">A462+1</f>
        <v>2</v>
      </c>
      <c r="B463" s="212" t="s">
        <v>690</v>
      </c>
      <c r="C463" s="209"/>
      <c r="D463" s="213" t="s">
        <v>14</v>
      </c>
      <c r="E463" s="214">
        <v>221100</v>
      </c>
    </row>
    <row r="464" spans="1:5" ht="16.5" x14ac:dyDescent="0.25">
      <c r="A464" s="211">
        <f t="shared" si="1"/>
        <v>3</v>
      </c>
      <c r="B464" s="212" t="s">
        <v>691</v>
      </c>
      <c r="C464" s="209"/>
      <c r="D464" s="213" t="s">
        <v>14</v>
      </c>
      <c r="E464" s="214">
        <v>188000</v>
      </c>
    </row>
    <row r="465" spans="1:5" ht="16.5" x14ac:dyDescent="0.25">
      <c r="A465" s="211">
        <f t="shared" si="1"/>
        <v>4</v>
      </c>
      <c r="B465" s="212" t="s">
        <v>692</v>
      </c>
      <c r="C465" s="209"/>
      <c r="D465" s="213" t="s">
        <v>25</v>
      </c>
      <c r="E465" s="214">
        <v>20900</v>
      </c>
    </row>
    <row r="466" spans="1:5" ht="16.5" x14ac:dyDescent="0.25">
      <c r="A466" s="211">
        <f t="shared" si="1"/>
        <v>5</v>
      </c>
      <c r="B466" s="212" t="s">
        <v>693</v>
      </c>
      <c r="C466" s="209"/>
      <c r="D466" s="213" t="s">
        <v>25</v>
      </c>
      <c r="E466" s="214">
        <v>71280</v>
      </c>
    </row>
    <row r="467" spans="1:5" ht="16.5" x14ac:dyDescent="0.25">
      <c r="A467" s="211">
        <f t="shared" si="1"/>
        <v>6</v>
      </c>
      <c r="B467" s="212" t="s">
        <v>694</v>
      </c>
      <c r="C467" s="209"/>
      <c r="D467" s="213" t="s">
        <v>25</v>
      </c>
      <c r="E467" s="214">
        <v>20328</v>
      </c>
    </row>
    <row r="468" spans="1:5" ht="16.5" x14ac:dyDescent="0.25">
      <c r="A468" s="211">
        <f t="shared" si="1"/>
        <v>7</v>
      </c>
      <c r="B468" s="212" t="s">
        <v>695</v>
      </c>
      <c r="C468" s="209"/>
      <c r="D468" s="213" t="s">
        <v>14</v>
      </c>
      <c r="E468" s="214">
        <f>130000</f>
        <v>130000</v>
      </c>
    </row>
    <row r="469" spans="1:5" ht="16.5" x14ac:dyDescent="0.25">
      <c r="A469" s="211">
        <f t="shared" si="1"/>
        <v>8</v>
      </c>
      <c r="B469" s="212" t="s">
        <v>696</v>
      </c>
      <c r="C469" s="209"/>
      <c r="D469" s="213" t="s">
        <v>14</v>
      </c>
      <c r="E469" s="214">
        <v>420000</v>
      </c>
    </row>
    <row r="470" spans="1:5" ht="16.5" x14ac:dyDescent="0.3">
      <c r="A470" s="200"/>
      <c r="B470" s="201"/>
      <c r="C470" s="201"/>
      <c r="D470" s="201"/>
      <c r="E470" s="202"/>
    </row>
    <row r="471" spans="1:5" ht="16.5" x14ac:dyDescent="0.3">
      <c r="A471" s="203" t="s">
        <v>239</v>
      </c>
      <c r="B471" s="204" t="s">
        <v>697</v>
      </c>
      <c r="C471" s="204"/>
      <c r="D471" s="204"/>
      <c r="E471" s="205"/>
    </row>
    <row r="472" spans="1:5" ht="16.5" x14ac:dyDescent="0.3">
      <c r="A472" s="200">
        <v>1</v>
      </c>
      <c r="B472" s="201" t="s">
        <v>698</v>
      </c>
      <c r="C472" s="201" t="s">
        <v>239</v>
      </c>
      <c r="D472" s="201" t="s">
        <v>38</v>
      </c>
      <c r="E472" s="202">
        <v>13275</v>
      </c>
    </row>
    <row r="473" spans="1:5" ht="16.5" x14ac:dyDescent="0.3">
      <c r="A473" s="200">
        <v>2</v>
      </c>
      <c r="B473" s="201" t="s">
        <v>699</v>
      </c>
      <c r="C473" s="201" t="s">
        <v>239</v>
      </c>
      <c r="D473" s="201" t="s">
        <v>38</v>
      </c>
      <c r="E473" s="202">
        <v>21600</v>
      </c>
    </row>
    <row r="474" spans="1:5" ht="16.5" x14ac:dyDescent="0.3">
      <c r="A474" s="200">
        <v>3</v>
      </c>
      <c r="B474" s="201" t="s">
        <v>700</v>
      </c>
      <c r="C474" s="201" t="s">
        <v>239</v>
      </c>
      <c r="D474" s="201" t="s">
        <v>38</v>
      </c>
      <c r="E474" s="202">
        <v>31500</v>
      </c>
    </row>
    <row r="475" spans="1:5" ht="16.5" x14ac:dyDescent="0.3">
      <c r="A475" s="200">
        <v>4</v>
      </c>
      <c r="B475" s="201" t="s">
        <v>701</v>
      </c>
      <c r="C475" s="201" t="s">
        <v>239</v>
      </c>
      <c r="D475" s="201" t="s">
        <v>38</v>
      </c>
      <c r="E475" s="202">
        <v>38475</v>
      </c>
    </row>
    <row r="476" spans="1:5" ht="16.5" x14ac:dyDescent="0.3">
      <c r="A476" s="200">
        <v>5</v>
      </c>
      <c r="B476" s="201" t="s">
        <v>702</v>
      </c>
      <c r="C476" s="201" t="s">
        <v>239</v>
      </c>
      <c r="D476" s="201" t="s">
        <v>38</v>
      </c>
      <c r="E476" s="202">
        <v>4500</v>
      </c>
    </row>
    <row r="477" spans="1:5" ht="16.5" x14ac:dyDescent="0.3">
      <c r="A477" s="200">
        <v>6</v>
      </c>
      <c r="B477" s="201" t="s">
        <v>703</v>
      </c>
      <c r="C477" s="201" t="s">
        <v>239</v>
      </c>
      <c r="D477" s="201" t="s">
        <v>38</v>
      </c>
      <c r="E477" s="202">
        <v>4500</v>
      </c>
    </row>
    <row r="478" spans="1:5" ht="16.5" x14ac:dyDescent="0.3">
      <c r="A478" s="200">
        <v>7</v>
      </c>
      <c r="B478" s="201" t="s">
        <v>704</v>
      </c>
      <c r="C478" s="201" t="s">
        <v>239</v>
      </c>
      <c r="D478" s="201" t="s">
        <v>38</v>
      </c>
      <c r="E478" s="202">
        <v>11250</v>
      </c>
    </row>
    <row r="479" spans="1:5" ht="16.5" x14ac:dyDescent="0.3">
      <c r="A479" s="200">
        <v>8</v>
      </c>
      <c r="B479" s="201" t="s">
        <v>705</v>
      </c>
      <c r="C479" s="201" t="s">
        <v>239</v>
      </c>
      <c r="D479" s="201" t="s">
        <v>38</v>
      </c>
      <c r="E479" s="202">
        <v>20700</v>
      </c>
    </row>
    <row r="480" spans="1:5" ht="16.5" x14ac:dyDescent="0.3">
      <c r="A480" s="200">
        <v>9</v>
      </c>
      <c r="B480" s="201" t="s">
        <v>706</v>
      </c>
      <c r="C480" s="201" t="s">
        <v>239</v>
      </c>
      <c r="D480" s="201" t="s">
        <v>38</v>
      </c>
      <c r="E480" s="202">
        <v>11700</v>
      </c>
    </row>
    <row r="481" spans="1:5" ht="16.5" x14ac:dyDescent="0.3">
      <c r="A481" s="200">
        <v>10</v>
      </c>
      <c r="B481" s="201" t="s">
        <v>707</v>
      </c>
      <c r="C481" s="201" t="s">
        <v>239</v>
      </c>
      <c r="D481" s="201" t="s">
        <v>38</v>
      </c>
      <c r="E481" s="202">
        <v>11475</v>
      </c>
    </row>
    <row r="482" spans="1:5" ht="16.5" x14ac:dyDescent="0.3">
      <c r="A482" s="200">
        <v>11</v>
      </c>
      <c r="B482" s="201" t="s">
        <v>708</v>
      </c>
      <c r="C482" s="201" t="s">
        <v>239</v>
      </c>
      <c r="D482" s="201" t="s">
        <v>38</v>
      </c>
      <c r="E482" s="202">
        <v>7650</v>
      </c>
    </row>
    <row r="483" spans="1:5" ht="16.5" x14ac:dyDescent="0.3">
      <c r="A483" s="200">
        <v>12</v>
      </c>
      <c r="B483" s="201" t="s">
        <v>709</v>
      </c>
      <c r="C483" s="201" t="s">
        <v>239</v>
      </c>
      <c r="D483" s="201" t="s">
        <v>38</v>
      </c>
      <c r="E483" s="202">
        <f>E485/50</f>
        <v>1280</v>
      </c>
    </row>
    <row r="484" spans="1:5" ht="16.5" x14ac:dyDescent="0.3">
      <c r="A484" s="200">
        <v>13</v>
      </c>
      <c r="B484" s="201" t="s">
        <v>710</v>
      </c>
      <c r="C484" s="201" t="s">
        <v>711</v>
      </c>
      <c r="D484" s="201" t="s">
        <v>712</v>
      </c>
      <c r="E484" s="202">
        <v>54000</v>
      </c>
    </row>
    <row r="485" spans="1:5" ht="16.5" x14ac:dyDescent="0.3">
      <c r="A485" s="200">
        <v>14</v>
      </c>
      <c r="B485" s="201" t="s">
        <v>713</v>
      </c>
      <c r="C485" s="201" t="s">
        <v>711</v>
      </c>
      <c r="D485" s="201" t="s">
        <v>712</v>
      </c>
      <c r="E485" s="202">
        <v>64000</v>
      </c>
    </row>
    <row r="486" spans="1:5" ht="16.5" x14ac:dyDescent="0.3">
      <c r="A486" s="200">
        <v>15</v>
      </c>
      <c r="B486" s="201" t="s">
        <v>714</v>
      </c>
      <c r="C486" s="201" t="s">
        <v>239</v>
      </c>
      <c r="D486" s="201" t="s">
        <v>712</v>
      </c>
      <c r="E486" s="202">
        <v>69750</v>
      </c>
    </row>
    <row r="487" spans="1:5" ht="16.5" x14ac:dyDescent="0.3">
      <c r="A487" s="200">
        <v>16</v>
      </c>
      <c r="B487" s="201" t="s">
        <v>715</v>
      </c>
      <c r="C487" s="201" t="s">
        <v>239</v>
      </c>
      <c r="D487" s="201" t="s">
        <v>712</v>
      </c>
      <c r="E487" s="202">
        <v>80100</v>
      </c>
    </row>
    <row r="488" spans="1:5" ht="16.5" x14ac:dyDescent="0.3">
      <c r="A488" s="200">
        <v>17</v>
      </c>
      <c r="B488" s="201" t="s">
        <v>716</v>
      </c>
      <c r="C488" s="201" t="s">
        <v>239</v>
      </c>
      <c r="D488" s="201" t="s">
        <v>20</v>
      </c>
      <c r="E488" s="202">
        <v>648000</v>
      </c>
    </row>
    <row r="489" spans="1:5" ht="16.5" x14ac:dyDescent="0.3">
      <c r="A489" s="200">
        <v>18</v>
      </c>
      <c r="B489" s="201" t="s">
        <v>717</v>
      </c>
      <c r="C489" s="201" t="s">
        <v>239</v>
      </c>
      <c r="D489" s="201" t="s">
        <v>20</v>
      </c>
      <c r="E489" s="202">
        <v>673499.70000000007</v>
      </c>
    </row>
    <row r="490" spans="1:5" ht="16.5" x14ac:dyDescent="0.3">
      <c r="A490" s="200">
        <v>19</v>
      </c>
      <c r="B490" s="201" t="s">
        <v>718</v>
      </c>
      <c r="C490" s="201" t="s">
        <v>239</v>
      </c>
      <c r="D490" s="201" t="s">
        <v>20</v>
      </c>
      <c r="E490" s="202">
        <v>694499.4</v>
      </c>
    </row>
    <row r="491" spans="1:5" ht="16.5" x14ac:dyDescent="0.3">
      <c r="A491" s="200">
        <v>20</v>
      </c>
      <c r="B491" s="201" t="s">
        <v>719</v>
      </c>
      <c r="C491" s="201" t="s">
        <v>239</v>
      </c>
      <c r="D491" s="201" t="s">
        <v>20</v>
      </c>
      <c r="E491" s="202">
        <v>713999.70000000007</v>
      </c>
    </row>
    <row r="492" spans="1:5" ht="16.5" x14ac:dyDescent="0.3">
      <c r="A492" s="200">
        <v>21</v>
      </c>
      <c r="B492" s="201" t="s">
        <v>720</v>
      </c>
      <c r="C492" s="201" t="s">
        <v>239</v>
      </c>
      <c r="D492" s="201" t="s">
        <v>20</v>
      </c>
      <c r="E492" s="202">
        <v>736499.70000000007</v>
      </c>
    </row>
    <row r="493" spans="1:5" ht="16.5" x14ac:dyDescent="0.3">
      <c r="A493" s="200">
        <v>22</v>
      </c>
      <c r="B493" s="201" t="s">
        <v>721</v>
      </c>
      <c r="C493" s="201" t="s">
        <v>239</v>
      </c>
      <c r="D493" s="201" t="s">
        <v>20</v>
      </c>
      <c r="E493" s="202">
        <v>760500</v>
      </c>
    </row>
    <row r="494" spans="1:5" ht="16.5" x14ac:dyDescent="0.3">
      <c r="A494" s="200">
        <v>23</v>
      </c>
      <c r="B494" s="201" t="s">
        <v>722</v>
      </c>
      <c r="C494" s="201" t="s">
        <v>239</v>
      </c>
      <c r="D494" s="201" t="s">
        <v>20</v>
      </c>
      <c r="E494" s="202">
        <v>792000</v>
      </c>
    </row>
    <row r="495" spans="1:5" ht="16.5" x14ac:dyDescent="0.3">
      <c r="A495" s="200">
        <v>24</v>
      </c>
      <c r="B495" s="201" t="s">
        <v>723</v>
      </c>
      <c r="C495" s="201" t="s">
        <v>239</v>
      </c>
      <c r="D495" s="201" t="s">
        <v>20</v>
      </c>
      <c r="E495" s="202">
        <v>837000</v>
      </c>
    </row>
    <row r="496" spans="1:5" ht="16.5" x14ac:dyDescent="0.3">
      <c r="A496" s="200">
        <v>25</v>
      </c>
      <c r="B496" s="201" t="s">
        <v>724</v>
      </c>
      <c r="C496" s="201" t="s">
        <v>239</v>
      </c>
      <c r="D496" s="201" t="s">
        <v>20</v>
      </c>
      <c r="E496" s="202">
        <v>873000</v>
      </c>
    </row>
    <row r="497" spans="1:5" ht="16.5" x14ac:dyDescent="0.3">
      <c r="A497" s="200">
        <v>26</v>
      </c>
      <c r="B497" s="201" t="s">
        <v>725</v>
      </c>
      <c r="C497" s="201" t="s">
        <v>239</v>
      </c>
      <c r="D497" s="201" t="s">
        <v>20</v>
      </c>
      <c r="E497" s="202">
        <v>992250</v>
      </c>
    </row>
    <row r="498" spans="1:5" ht="16.5" x14ac:dyDescent="0.3">
      <c r="A498" s="200">
        <v>27</v>
      </c>
      <c r="B498" s="201" t="s">
        <v>726</v>
      </c>
      <c r="C498" s="201" t="s">
        <v>239</v>
      </c>
      <c r="D498" s="201" t="s">
        <v>38</v>
      </c>
      <c r="E498" s="202">
        <v>40500</v>
      </c>
    </row>
    <row r="499" spans="1:5" ht="16.5" x14ac:dyDescent="0.3">
      <c r="A499" s="200">
        <v>28</v>
      </c>
      <c r="B499" s="201" t="s">
        <v>727</v>
      </c>
      <c r="C499" s="201" t="s">
        <v>239</v>
      </c>
      <c r="D499" s="201" t="s">
        <v>38</v>
      </c>
      <c r="E499" s="202">
        <v>11475</v>
      </c>
    </row>
    <row r="500" spans="1:5" ht="16.5" x14ac:dyDescent="0.3">
      <c r="A500" s="200">
        <v>29</v>
      </c>
      <c r="B500" s="201" t="s">
        <v>728</v>
      </c>
      <c r="C500" s="201" t="s">
        <v>239</v>
      </c>
      <c r="D500" s="201" t="s">
        <v>38</v>
      </c>
      <c r="E500" s="202">
        <v>61425</v>
      </c>
    </row>
    <row r="501" spans="1:5" ht="16.5" x14ac:dyDescent="0.3">
      <c r="A501" s="200">
        <v>30</v>
      </c>
      <c r="B501" s="201" t="s">
        <v>729</v>
      </c>
      <c r="C501" s="201" t="s">
        <v>239</v>
      </c>
      <c r="D501" s="201" t="s">
        <v>16</v>
      </c>
      <c r="E501" s="202">
        <v>405</v>
      </c>
    </row>
    <row r="502" spans="1:5" ht="16.5" x14ac:dyDescent="0.3">
      <c r="A502" s="200">
        <v>31</v>
      </c>
      <c r="B502" s="201" t="s">
        <v>730</v>
      </c>
      <c r="C502" s="201" t="s">
        <v>239</v>
      </c>
      <c r="D502" s="201" t="s">
        <v>16</v>
      </c>
      <c r="E502" s="202">
        <f>329.4*24</f>
        <v>7905.5999999999995</v>
      </c>
    </row>
    <row r="503" spans="1:5" ht="16.5" x14ac:dyDescent="0.3">
      <c r="A503" s="200"/>
      <c r="B503" s="201"/>
      <c r="C503" s="201"/>
      <c r="D503" s="201"/>
      <c r="E503" s="202"/>
    </row>
    <row r="504" spans="1:5" ht="16.5" x14ac:dyDescent="0.3">
      <c r="A504" s="203" t="s">
        <v>239</v>
      </c>
      <c r="B504" s="204" t="s">
        <v>731</v>
      </c>
      <c r="C504" s="204"/>
      <c r="D504" s="204"/>
      <c r="E504" s="205"/>
    </row>
    <row r="505" spans="1:5" ht="16.5" x14ac:dyDescent="0.3">
      <c r="A505" s="200">
        <v>1</v>
      </c>
      <c r="B505" s="201" t="s">
        <v>732</v>
      </c>
      <c r="C505" s="201" t="s">
        <v>239</v>
      </c>
      <c r="D505" s="201" t="s">
        <v>38</v>
      </c>
      <c r="E505" s="202">
        <v>37125</v>
      </c>
    </row>
    <row r="506" spans="1:5" ht="16.5" x14ac:dyDescent="0.3">
      <c r="A506" s="200">
        <v>2</v>
      </c>
      <c r="B506" s="201" t="s">
        <v>733</v>
      </c>
      <c r="C506" s="201" t="s">
        <v>239</v>
      </c>
      <c r="D506" s="201" t="s">
        <v>38</v>
      </c>
      <c r="E506" s="202">
        <v>37012.5</v>
      </c>
    </row>
    <row r="507" spans="1:5" ht="16.5" x14ac:dyDescent="0.3">
      <c r="A507" s="200">
        <v>3</v>
      </c>
      <c r="B507" s="201" t="s">
        <v>734</v>
      </c>
      <c r="C507" s="201" t="s">
        <v>239</v>
      </c>
      <c r="D507" s="201" t="s">
        <v>38</v>
      </c>
      <c r="E507" s="202">
        <v>14549.4</v>
      </c>
    </row>
    <row r="508" spans="1:5" ht="16.5" x14ac:dyDescent="0.3">
      <c r="A508" s="200">
        <v>4</v>
      </c>
      <c r="B508" s="201" t="s">
        <v>735</v>
      </c>
      <c r="C508" s="201" t="s">
        <v>239</v>
      </c>
      <c r="D508" s="201" t="s">
        <v>38</v>
      </c>
      <c r="E508" s="202">
        <v>37800</v>
      </c>
    </row>
    <row r="509" spans="1:5" ht="16.5" x14ac:dyDescent="0.3">
      <c r="A509" s="200">
        <v>5</v>
      </c>
      <c r="B509" s="201" t="s">
        <v>736</v>
      </c>
      <c r="C509" s="201" t="s">
        <v>239</v>
      </c>
      <c r="D509" s="201" t="s">
        <v>38</v>
      </c>
      <c r="E509" s="202">
        <v>40649.4</v>
      </c>
    </row>
    <row r="510" spans="1:5" ht="16.5" x14ac:dyDescent="0.3">
      <c r="A510" s="200">
        <v>6</v>
      </c>
      <c r="B510" s="201" t="s">
        <v>737</v>
      </c>
      <c r="C510" s="201" t="s">
        <v>239</v>
      </c>
      <c r="D510" s="201" t="s">
        <v>38</v>
      </c>
      <c r="E510" s="202">
        <v>32000</v>
      </c>
    </row>
    <row r="511" spans="1:5" ht="16.5" x14ac:dyDescent="0.3">
      <c r="A511" s="200">
        <v>7</v>
      </c>
      <c r="B511" s="201" t="s">
        <v>1253</v>
      </c>
      <c r="C511" s="201" t="s">
        <v>239</v>
      </c>
      <c r="D511" s="201" t="s">
        <v>38</v>
      </c>
      <c r="E511" s="202">
        <v>36000</v>
      </c>
    </row>
    <row r="512" spans="1:5" ht="16.5" x14ac:dyDescent="0.3">
      <c r="A512" s="200">
        <v>8</v>
      </c>
      <c r="B512" s="201" t="s">
        <v>1254</v>
      </c>
      <c r="C512" s="201" t="s">
        <v>239</v>
      </c>
      <c r="D512" s="201" t="s">
        <v>38</v>
      </c>
      <c r="E512" s="202">
        <v>120000</v>
      </c>
    </row>
    <row r="513" spans="1:5" ht="16.5" x14ac:dyDescent="0.3">
      <c r="A513" s="200">
        <v>8</v>
      </c>
      <c r="B513" s="201" t="s">
        <v>738</v>
      </c>
      <c r="C513" s="201" t="s">
        <v>239</v>
      </c>
      <c r="D513" s="201" t="s">
        <v>38</v>
      </c>
      <c r="E513" s="202">
        <v>32400</v>
      </c>
    </row>
    <row r="514" spans="1:5" ht="16.5" x14ac:dyDescent="0.3">
      <c r="A514" s="200">
        <v>9</v>
      </c>
      <c r="B514" s="201" t="s">
        <v>739</v>
      </c>
      <c r="C514" s="201" t="s">
        <v>239</v>
      </c>
      <c r="D514" s="201" t="s">
        <v>38</v>
      </c>
      <c r="E514" s="202">
        <v>34762.5</v>
      </c>
    </row>
    <row r="515" spans="1:5" ht="16.5" x14ac:dyDescent="0.3">
      <c r="A515" s="200">
        <v>10</v>
      </c>
      <c r="B515" s="201" t="s">
        <v>740</v>
      </c>
      <c r="C515" s="201" t="s">
        <v>239</v>
      </c>
      <c r="D515" s="201" t="s">
        <v>504</v>
      </c>
      <c r="E515" s="202">
        <v>47250</v>
      </c>
    </row>
    <row r="516" spans="1:5" ht="16.5" x14ac:dyDescent="0.3">
      <c r="A516" s="200">
        <v>11</v>
      </c>
      <c r="B516" s="201" t="s">
        <v>741</v>
      </c>
      <c r="C516" s="201" t="s">
        <v>239</v>
      </c>
      <c r="D516" s="201" t="s">
        <v>38</v>
      </c>
      <c r="E516" s="202">
        <v>12899.7</v>
      </c>
    </row>
    <row r="517" spans="1:5" ht="16.5" x14ac:dyDescent="0.3">
      <c r="A517" s="200">
        <v>12</v>
      </c>
      <c r="B517" s="201" t="s">
        <v>742</v>
      </c>
      <c r="C517" s="201" t="s">
        <v>239</v>
      </c>
      <c r="D517" s="201" t="s">
        <v>38</v>
      </c>
      <c r="E517" s="202">
        <v>18787.5</v>
      </c>
    </row>
    <row r="518" spans="1:5" ht="16.5" x14ac:dyDescent="0.3">
      <c r="A518" s="200">
        <v>13</v>
      </c>
      <c r="B518" s="201" t="s">
        <v>743</v>
      </c>
      <c r="C518" s="201" t="s">
        <v>239</v>
      </c>
      <c r="D518" s="201" t="s">
        <v>38</v>
      </c>
      <c r="E518" s="202">
        <v>20099.7</v>
      </c>
    </row>
    <row r="519" spans="1:5" ht="16.5" x14ac:dyDescent="0.3">
      <c r="A519" s="200">
        <v>14</v>
      </c>
      <c r="B519" s="201" t="s">
        <v>744</v>
      </c>
      <c r="C519" s="201" t="s">
        <v>239</v>
      </c>
      <c r="D519" s="201" t="s">
        <v>38</v>
      </c>
      <c r="E519" s="202">
        <v>16349.4</v>
      </c>
    </row>
    <row r="520" spans="1:5" ht="16.5" x14ac:dyDescent="0.3">
      <c r="A520" s="200">
        <v>15</v>
      </c>
      <c r="B520" s="201" t="s">
        <v>745</v>
      </c>
      <c r="C520" s="201" t="s">
        <v>239</v>
      </c>
      <c r="D520" s="201" t="s">
        <v>38</v>
      </c>
      <c r="E520" s="202">
        <v>23625</v>
      </c>
    </row>
    <row r="521" spans="1:5" ht="16.5" x14ac:dyDescent="0.3">
      <c r="A521" s="200">
        <v>16</v>
      </c>
      <c r="B521" s="201" t="s">
        <v>746</v>
      </c>
      <c r="C521" s="201" t="s">
        <v>239</v>
      </c>
      <c r="D521" s="201" t="s">
        <v>320</v>
      </c>
      <c r="E521" s="202">
        <v>3150</v>
      </c>
    </row>
    <row r="522" spans="1:5" ht="16.5" x14ac:dyDescent="0.3">
      <c r="A522" s="200">
        <v>17</v>
      </c>
      <c r="B522" s="201" t="s">
        <v>747</v>
      </c>
      <c r="C522" s="201" t="s">
        <v>239</v>
      </c>
      <c r="D522" s="201" t="s">
        <v>269</v>
      </c>
      <c r="E522" s="202">
        <v>9299.7000000000007</v>
      </c>
    </row>
    <row r="523" spans="1:5" ht="16.5" x14ac:dyDescent="0.3">
      <c r="A523" s="200">
        <v>18</v>
      </c>
      <c r="B523" s="201" t="s">
        <v>748</v>
      </c>
      <c r="C523" s="201" t="s">
        <v>239</v>
      </c>
      <c r="D523" s="201" t="s">
        <v>269</v>
      </c>
      <c r="E523" s="202">
        <v>6599.7</v>
      </c>
    </row>
    <row r="524" spans="1:5" ht="16.5" x14ac:dyDescent="0.3">
      <c r="A524" s="200">
        <v>19</v>
      </c>
      <c r="B524" s="201" t="s">
        <v>749</v>
      </c>
      <c r="C524" s="201" t="s">
        <v>239</v>
      </c>
      <c r="D524" s="201" t="s">
        <v>269</v>
      </c>
      <c r="E524" s="202">
        <v>5699.7</v>
      </c>
    </row>
    <row r="525" spans="1:5" ht="16.5" x14ac:dyDescent="0.3">
      <c r="A525" s="200">
        <v>20</v>
      </c>
      <c r="B525" s="201" t="s">
        <v>750</v>
      </c>
      <c r="C525" s="201" t="s">
        <v>239</v>
      </c>
      <c r="D525" s="201" t="s">
        <v>269</v>
      </c>
      <c r="E525" s="202">
        <v>2999.7000000000003</v>
      </c>
    </row>
    <row r="526" spans="1:5" ht="16.5" x14ac:dyDescent="0.3">
      <c r="A526" s="200">
        <v>21</v>
      </c>
      <c r="B526" s="201" t="s">
        <v>751</v>
      </c>
      <c r="C526" s="201" t="s">
        <v>239</v>
      </c>
      <c r="D526" s="201" t="s">
        <v>38</v>
      </c>
      <c r="E526" s="202">
        <v>23249.7</v>
      </c>
    </row>
    <row r="527" spans="1:5" ht="16.5" x14ac:dyDescent="0.3">
      <c r="A527" s="200">
        <v>22</v>
      </c>
      <c r="B527" s="201" t="s">
        <v>752</v>
      </c>
      <c r="C527" s="201" t="s">
        <v>239</v>
      </c>
      <c r="D527" s="201" t="s">
        <v>38</v>
      </c>
      <c r="E527" s="202">
        <v>29549.7</v>
      </c>
    </row>
    <row r="528" spans="1:5" ht="16.5" x14ac:dyDescent="0.3">
      <c r="A528" s="200">
        <v>23</v>
      </c>
      <c r="B528" s="201" t="s">
        <v>753</v>
      </c>
      <c r="C528" s="201" t="s">
        <v>239</v>
      </c>
      <c r="D528" s="201" t="s">
        <v>504</v>
      </c>
      <c r="E528" s="202">
        <v>31050</v>
      </c>
    </row>
    <row r="529" spans="1:5" ht="16.5" x14ac:dyDescent="0.3">
      <c r="A529" s="200">
        <v>24</v>
      </c>
      <c r="B529" s="201" t="s">
        <v>754</v>
      </c>
      <c r="C529" s="201" t="s">
        <v>239</v>
      </c>
      <c r="D529" s="201" t="s">
        <v>504</v>
      </c>
      <c r="E529" s="202">
        <v>35249.4</v>
      </c>
    </row>
    <row r="530" spans="1:5" ht="16.5" x14ac:dyDescent="0.3">
      <c r="A530" s="200">
        <v>25</v>
      </c>
      <c r="B530" s="201" t="s">
        <v>755</v>
      </c>
      <c r="C530" s="201" t="s">
        <v>239</v>
      </c>
      <c r="D530" s="201" t="s">
        <v>504</v>
      </c>
      <c r="E530" s="202">
        <v>28350</v>
      </c>
    </row>
    <row r="531" spans="1:5" ht="16.5" x14ac:dyDescent="0.3">
      <c r="A531" s="200">
        <v>26</v>
      </c>
      <c r="B531" s="201" t="s">
        <v>756</v>
      </c>
      <c r="C531" s="201" t="s">
        <v>239</v>
      </c>
      <c r="D531" s="201" t="s">
        <v>38</v>
      </c>
      <c r="E531" s="202">
        <v>22500</v>
      </c>
    </row>
    <row r="532" spans="1:5" ht="16.5" x14ac:dyDescent="0.3">
      <c r="A532" s="200">
        <v>27</v>
      </c>
      <c r="B532" s="201" t="s">
        <v>757</v>
      </c>
      <c r="C532" s="201" t="s">
        <v>239</v>
      </c>
      <c r="D532" s="201" t="s">
        <v>38</v>
      </c>
      <c r="E532" s="202">
        <v>29999.7</v>
      </c>
    </row>
    <row r="533" spans="1:5" ht="16.5" x14ac:dyDescent="0.3">
      <c r="A533" s="200"/>
      <c r="B533" s="201"/>
      <c r="C533" s="201"/>
      <c r="D533" s="201"/>
      <c r="E533" s="202"/>
    </row>
    <row r="534" spans="1:5" ht="16.5" x14ac:dyDescent="0.3">
      <c r="A534" s="203" t="s">
        <v>239</v>
      </c>
      <c r="B534" s="204" t="s">
        <v>758</v>
      </c>
      <c r="C534" s="204"/>
      <c r="D534" s="204"/>
      <c r="E534" s="205"/>
    </row>
    <row r="535" spans="1:5" ht="16.5" x14ac:dyDescent="0.3">
      <c r="A535" s="200">
        <v>1</v>
      </c>
      <c r="B535" s="201" t="s">
        <v>759</v>
      </c>
      <c r="C535" s="201" t="s">
        <v>239</v>
      </c>
      <c r="D535" s="201" t="s">
        <v>269</v>
      </c>
      <c r="E535" s="202">
        <v>86625</v>
      </c>
    </row>
    <row r="536" spans="1:5" ht="16.5" x14ac:dyDescent="0.3">
      <c r="A536" s="200">
        <v>2</v>
      </c>
      <c r="B536" s="201" t="s">
        <v>760</v>
      </c>
      <c r="C536" s="201" t="s">
        <v>239</v>
      </c>
      <c r="D536" s="201" t="s">
        <v>269</v>
      </c>
      <c r="E536" s="202">
        <v>94500</v>
      </c>
    </row>
    <row r="537" spans="1:5" ht="16.5" x14ac:dyDescent="0.3">
      <c r="A537" s="200">
        <v>3</v>
      </c>
      <c r="B537" s="201" t="s">
        <v>761</v>
      </c>
      <c r="C537" s="201" t="s">
        <v>239</v>
      </c>
      <c r="D537" s="201" t="s">
        <v>269</v>
      </c>
      <c r="E537" s="202">
        <v>25537.5</v>
      </c>
    </row>
    <row r="538" spans="1:5" ht="16.5" x14ac:dyDescent="0.3">
      <c r="A538" s="200">
        <v>4</v>
      </c>
      <c r="B538" s="201" t="s">
        <v>762</v>
      </c>
      <c r="C538" s="201" t="s">
        <v>239</v>
      </c>
      <c r="D538" s="201" t="s">
        <v>269</v>
      </c>
      <c r="E538" s="202">
        <v>15750</v>
      </c>
    </row>
    <row r="539" spans="1:5" ht="16.5" x14ac:dyDescent="0.3">
      <c r="A539" s="200">
        <v>5</v>
      </c>
      <c r="B539" s="201" t="s">
        <v>763</v>
      </c>
      <c r="C539" s="201" t="s">
        <v>239</v>
      </c>
      <c r="D539" s="201" t="s">
        <v>269</v>
      </c>
      <c r="E539" s="202">
        <v>13612.5</v>
      </c>
    </row>
    <row r="540" spans="1:5" ht="16.5" x14ac:dyDescent="0.3">
      <c r="A540" s="200">
        <v>6</v>
      </c>
      <c r="B540" s="201" t="s">
        <v>764</v>
      </c>
      <c r="C540" s="201" t="s">
        <v>239</v>
      </c>
      <c r="D540" s="201" t="s">
        <v>269</v>
      </c>
      <c r="E540" s="202">
        <v>23099.4</v>
      </c>
    </row>
    <row r="541" spans="1:5" ht="16.5" x14ac:dyDescent="0.3">
      <c r="A541" s="200">
        <v>7</v>
      </c>
      <c r="B541" s="201" t="s">
        <v>765</v>
      </c>
      <c r="C541" s="201" t="s">
        <v>239</v>
      </c>
      <c r="D541" s="201" t="s">
        <v>269</v>
      </c>
      <c r="E541" s="202">
        <v>39150</v>
      </c>
    </row>
    <row r="542" spans="1:5" ht="16.5" x14ac:dyDescent="0.3">
      <c r="A542" s="200">
        <v>8</v>
      </c>
      <c r="B542" s="201" t="s">
        <v>766</v>
      </c>
      <c r="C542" s="201" t="s">
        <v>239</v>
      </c>
      <c r="D542" s="201" t="s">
        <v>269</v>
      </c>
      <c r="E542" s="202">
        <v>36000</v>
      </c>
    </row>
    <row r="543" spans="1:5" ht="16.5" x14ac:dyDescent="0.3">
      <c r="A543" s="200">
        <v>9</v>
      </c>
      <c r="B543" s="201" t="s">
        <v>767</v>
      </c>
      <c r="C543" s="201" t="s">
        <v>239</v>
      </c>
      <c r="D543" s="201" t="s">
        <v>269</v>
      </c>
      <c r="E543" s="202">
        <v>7200</v>
      </c>
    </row>
    <row r="544" spans="1:5" ht="16.5" x14ac:dyDescent="0.3">
      <c r="A544" s="200">
        <v>10</v>
      </c>
      <c r="B544" s="201" t="s">
        <v>768</v>
      </c>
      <c r="C544" s="201" t="s">
        <v>239</v>
      </c>
      <c r="D544" s="201" t="s">
        <v>269</v>
      </c>
      <c r="E544" s="202">
        <v>12089.7</v>
      </c>
    </row>
    <row r="545" spans="1:5" ht="16.5" x14ac:dyDescent="0.3">
      <c r="A545" s="200">
        <v>11</v>
      </c>
      <c r="B545" s="201" t="s">
        <v>769</v>
      </c>
      <c r="C545" s="201" t="s">
        <v>239</v>
      </c>
      <c r="D545" s="201" t="s">
        <v>269</v>
      </c>
      <c r="E545" s="202">
        <v>10237.5</v>
      </c>
    </row>
    <row r="546" spans="1:5" ht="16.5" x14ac:dyDescent="0.3">
      <c r="A546" s="200">
        <v>12</v>
      </c>
      <c r="B546" s="201" t="s">
        <v>770</v>
      </c>
      <c r="C546" s="201" t="s">
        <v>239</v>
      </c>
      <c r="D546" s="201" t="s">
        <v>269</v>
      </c>
      <c r="E546" s="202">
        <v>92849.400000000009</v>
      </c>
    </row>
    <row r="547" spans="1:5" ht="16.5" x14ac:dyDescent="0.3">
      <c r="A547" s="200">
        <v>13</v>
      </c>
      <c r="B547" s="201" t="s">
        <v>771</v>
      </c>
      <c r="C547" s="201" t="s">
        <v>239</v>
      </c>
      <c r="D547" s="201" t="s">
        <v>269</v>
      </c>
      <c r="E547" s="202">
        <v>78599.7</v>
      </c>
    </row>
    <row r="548" spans="1:5" ht="16.5" x14ac:dyDescent="0.3">
      <c r="A548" s="200">
        <v>14</v>
      </c>
      <c r="B548" s="201" t="s">
        <v>772</v>
      </c>
      <c r="C548" s="201" t="s">
        <v>239</v>
      </c>
      <c r="D548" s="201" t="s">
        <v>269</v>
      </c>
      <c r="E548" s="202">
        <v>62100</v>
      </c>
    </row>
    <row r="549" spans="1:5" ht="16.5" x14ac:dyDescent="0.3">
      <c r="A549" s="200">
        <v>15</v>
      </c>
      <c r="B549" s="201" t="s">
        <v>773</v>
      </c>
      <c r="C549" s="201" t="s">
        <v>239</v>
      </c>
      <c r="D549" s="201" t="s">
        <v>269</v>
      </c>
      <c r="E549" s="202">
        <v>36749.700000000004</v>
      </c>
    </row>
    <row r="550" spans="1:5" ht="16.5" x14ac:dyDescent="0.3">
      <c r="A550" s="200">
        <v>16</v>
      </c>
      <c r="B550" s="201" t="s">
        <v>774</v>
      </c>
      <c r="C550" s="201" t="s">
        <v>239</v>
      </c>
      <c r="D550" s="201" t="s">
        <v>269</v>
      </c>
      <c r="E550" s="202">
        <v>47399.4</v>
      </c>
    </row>
    <row r="551" spans="1:5" ht="16.5" x14ac:dyDescent="0.3">
      <c r="A551" s="200">
        <v>17</v>
      </c>
      <c r="B551" s="201" t="s">
        <v>775</v>
      </c>
      <c r="C551" s="201" t="s">
        <v>239</v>
      </c>
      <c r="D551" s="201" t="s">
        <v>269</v>
      </c>
      <c r="E551" s="202">
        <v>13950</v>
      </c>
    </row>
    <row r="552" spans="1:5" ht="16.5" x14ac:dyDescent="0.3">
      <c r="A552" s="200">
        <v>18</v>
      </c>
      <c r="B552" s="201" t="s">
        <v>776</v>
      </c>
      <c r="C552" s="201" t="s">
        <v>239</v>
      </c>
      <c r="D552" s="201" t="s">
        <v>269</v>
      </c>
      <c r="E552" s="202">
        <v>17000</v>
      </c>
    </row>
    <row r="553" spans="1:5" ht="16.5" x14ac:dyDescent="0.3">
      <c r="A553" s="200">
        <v>19</v>
      </c>
      <c r="B553" s="201" t="s">
        <v>777</v>
      </c>
      <c r="C553" s="201" t="s">
        <v>239</v>
      </c>
      <c r="D553" s="201" t="s">
        <v>269</v>
      </c>
      <c r="E553" s="202">
        <v>5175</v>
      </c>
    </row>
    <row r="554" spans="1:5" ht="16.5" x14ac:dyDescent="0.3">
      <c r="A554" s="200">
        <v>20</v>
      </c>
      <c r="B554" s="201" t="s">
        <v>778</v>
      </c>
      <c r="C554" s="201" t="s">
        <v>239</v>
      </c>
      <c r="D554" s="201" t="s">
        <v>269</v>
      </c>
      <c r="E554" s="202">
        <v>435600</v>
      </c>
    </row>
    <row r="555" spans="1:5" ht="16.5" x14ac:dyDescent="0.3">
      <c r="A555" s="200">
        <v>21</v>
      </c>
      <c r="B555" s="201" t="s">
        <v>779</v>
      </c>
      <c r="C555" s="201" t="s">
        <v>239</v>
      </c>
      <c r="D555" s="201" t="s">
        <v>269</v>
      </c>
      <c r="E555" s="202">
        <v>126495</v>
      </c>
    </row>
    <row r="556" spans="1:5" ht="16.5" x14ac:dyDescent="0.3">
      <c r="A556" s="200">
        <v>22</v>
      </c>
      <c r="B556" s="201" t="s">
        <v>780</v>
      </c>
      <c r="C556" s="201" t="s">
        <v>239</v>
      </c>
      <c r="D556" s="201" t="s">
        <v>269</v>
      </c>
      <c r="E556" s="202">
        <v>112050</v>
      </c>
    </row>
    <row r="557" spans="1:5" ht="16.5" x14ac:dyDescent="0.3">
      <c r="A557" s="200">
        <v>23</v>
      </c>
      <c r="B557" s="201" t="s">
        <v>781</v>
      </c>
      <c r="C557" s="201" t="s">
        <v>239</v>
      </c>
      <c r="D557" s="201" t="s">
        <v>782</v>
      </c>
      <c r="E557" s="202">
        <v>225000</v>
      </c>
    </row>
    <row r="558" spans="1:5" ht="16.5" x14ac:dyDescent="0.3">
      <c r="A558" s="200">
        <v>24</v>
      </c>
      <c r="B558" s="201" t="s">
        <v>783</v>
      </c>
      <c r="C558" s="201" t="s">
        <v>239</v>
      </c>
      <c r="D558" s="201" t="s">
        <v>269</v>
      </c>
      <c r="E558" s="202">
        <v>148365</v>
      </c>
    </row>
    <row r="559" spans="1:5" ht="16.5" x14ac:dyDescent="0.3">
      <c r="A559" s="200">
        <v>25</v>
      </c>
      <c r="B559" s="201" t="s">
        <v>784</v>
      </c>
      <c r="C559" s="201" t="s">
        <v>239</v>
      </c>
      <c r="D559" s="201" t="s">
        <v>269</v>
      </c>
      <c r="E559" s="202">
        <v>116100</v>
      </c>
    </row>
    <row r="560" spans="1:5" ht="16.5" x14ac:dyDescent="0.3">
      <c r="A560" s="200"/>
      <c r="B560" s="201"/>
      <c r="C560" s="201"/>
      <c r="D560" s="201"/>
      <c r="E560" s="202"/>
    </row>
    <row r="561" spans="1:5" ht="16.5" x14ac:dyDescent="0.3">
      <c r="A561" s="203" t="s">
        <v>239</v>
      </c>
      <c r="B561" s="204" t="s">
        <v>785</v>
      </c>
      <c r="C561" s="204"/>
      <c r="D561" s="204"/>
      <c r="E561" s="205"/>
    </row>
    <row r="562" spans="1:5" ht="16.5" x14ac:dyDescent="0.3">
      <c r="A562" s="200">
        <v>1</v>
      </c>
      <c r="B562" s="201" t="s">
        <v>786</v>
      </c>
      <c r="C562" s="201" t="s">
        <v>239</v>
      </c>
      <c r="D562" s="201" t="s">
        <v>14</v>
      </c>
      <c r="E562" s="202">
        <v>270000</v>
      </c>
    </row>
    <row r="563" spans="1:5" ht="16.5" x14ac:dyDescent="0.3">
      <c r="A563" s="200">
        <v>2</v>
      </c>
      <c r="B563" s="201" t="s">
        <v>787</v>
      </c>
      <c r="C563" s="201" t="s">
        <v>239</v>
      </c>
      <c r="D563" s="201" t="s">
        <v>14</v>
      </c>
      <c r="E563" s="202">
        <v>69750</v>
      </c>
    </row>
    <row r="564" spans="1:5" ht="16.5" x14ac:dyDescent="0.3">
      <c r="A564" s="200">
        <v>3</v>
      </c>
      <c r="B564" s="201" t="s">
        <v>788</v>
      </c>
      <c r="C564" s="201" t="s">
        <v>239</v>
      </c>
      <c r="D564" s="201" t="s">
        <v>14</v>
      </c>
      <c r="E564" s="202">
        <v>78750</v>
      </c>
    </row>
    <row r="565" spans="1:5" ht="16.5" x14ac:dyDescent="0.3">
      <c r="A565" s="200">
        <v>4</v>
      </c>
      <c r="B565" s="201" t="s">
        <v>789</v>
      </c>
      <c r="C565" s="201" t="s">
        <v>239</v>
      </c>
      <c r="D565" s="201" t="s">
        <v>14</v>
      </c>
      <c r="E565" s="202">
        <v>153000</v>
      </c>
    </row>
    <row r="566" spans="1:5" ht="16.5" x14ac:dyDescent="0.3">
      <c r="A566" s="200">
        <v>5</v>
      </c>
      <c r="B566" s="201" t="s">
        <v>790</v>
      </c>
      <c r="C566" s="201" t="s">
        <v>791</v>
      </c>
      <c r="D566" s="201" t="s">
        <v>14</v>
      </c>
      <c r="E566" s="202">
        <v>1080000</v>
      </c>
    </row>
    <row r="567" spans="1:5" ht="16.5" x14ac:dyDescent="0.3">
      <c r="A567" s="200">
        <v>6</v>
      </c>
      <c r="B567" s="201" t="s">
        <v>792</v>
      </c>
      <c r="C567" s="201" t="s">
        <v>239</v>
      </c>
      <c r="D567" s="201" t="s">
        <v>14</v>
      </c>
      <c r="E567" s="202">
        <v>148500</v>
      </c>
    </row>
    <row r="568" spans="1:5" ht="16.5" x14ac:dyDescent="0.3">
      <c r="A568" s="200">
        <v>7</v>
      </c>
      <c r="B568" s="201" t="s">
        <v>793</v>
      </c>
      <c r="C568" s="201" t="s">
        <v>239</v>
      </c>
      <c r="D568" s="201" t="s">
        <v>14</v>
      </c>
      <c r="E568" s="202">
        <v>225000</v>
      </c>
    </row>
    <row r="569" spans="1:5" ht="16.5" x14ac:dyDescent="0.3">
      <c r="A569" s="200">
        <v>8</v>
      </c>
      <c r="B569" s="201" t="s">
        <v>794</v>
      </c>
      <c r="C569" s="201" t="s">
        <v>239</v>
      </c>
      <c r="D569" s="201" t="s">
        <v>368</v>
      </c>
      <c r="E569" s="202">
        <v>10125</v>
      </c>
    </row>
    <row r="570" spans="1:5" ht="16.5" x14ac:dyDescent="0.3">
      <c r="A570" s="200">
        <v>9</v>
      </c>
      <c r="B570" s="201" t="s">
        <v>795</v>
      </c>
      <c r="C570" s="201" t="s">
        <v>239</v>
      </c>
      <c r="D570" s="201" t="s">
        <v>14</v>
      </c>
      <c r="E570" s="202">
        <v>1170000</v>
      </c>
    </row>
    <row r="571" spans="1:5" ht="16.5" x14ac:dyDescent="0.3">
      <c r="A571" s="200">
        <v>10</v>
      </c>
      <c r="B571" s="201" t="s">
        <v>796</v>
      </c>
      <c r="C571" s="201" t="s">
        <v>239</v>
      </c>
      <c r="D571" s="201" t="s">
        <v>14</v>
      </c>
      <c r="E571" s="202">
        <v>652500</v>
      </c>
    </row>
    <row r="572" spans="1:5" ht="16.5" x14ac:dyDescent="0.3">
      <c r="A572" s="200">
        <v>11</v>
      </c>
      <c r="B572" s="201" t="s">
        <v>797</v>
      </c>
      <c r="C572" s="201" t="s">
        <v>239</v>
      </c>
      <c r="D572" s="201" t="s">
        <v>14</v>
      </c>
      <c r="E572" s="202">
        <v>117000</v>
      </c>
    </row>
    <row r="573" spans="1:5" ht="16.5" x14ac:dyDescent="0.3">
      <c r="A573" s="200">
        <v>12</v>
      </c>
      <c r="B573" s="201" t="s">
        <v>798</v>
      </c>
      <c r="C573" s="201" t="s">
        <v>239</v>
      </c>
      <c r="D573" s="201" t="s">
        <v>14</v>
      </c>
      <c r="E573" s="202">
        <v>63000</v>
      </c>
    </row>
    <row r="574" spans="1:5" ht="16.5" x14ac:dyDescent="0.3">
      <c r="A574" s="200">
        <v>13</v>
      </c>
      <c r="B574" s="201" t="s">
        <v>799</v>
      </c>
      <c r="C574" s="201" t="s">
        <v>239</v>
      </c>
      <c r="D574" s="201" t="s">
        <v>14</v>
      </c>
      <c r="E574" s="202">
        <v>96750</v>
      </c>
    </row>
    <row r="575" spans="1:5" ht="16.5" x14ac:dyDescent="0.3">
      <c r="A575" s="200">
        <v>14</v>
      </c>
      <c r="B575" s="201" t="s">
        <v>800</v>
      </c>
      <c r="C575" s="201" t="s">
        <v>239</v>
      </c>
      <c r="D575" s="201" t="s">
        <v>14</v>
      </c>
      <c r="E575" s="202">
        <v>517500</v>
      </c>
    </row>
    <row r="576" spans="1:5" ht="16.5" x14ac:dyDescent="0.3">
      <c r="A576" s="200">
        <v>15</v>
      </c>
      <c r="B576" s="201" t="s">
        <v>801</v>
      </c>
      <c r="C576" s="201"/>
      <c r="D576" s="201" t="s">
        <v>14</v>
      </c>
      <c r="E576" s="202">
        <v>585000</v>
      </c>
    </row>
    <row r="577" spans="1:5" ht="16.5" x14ac:dyDescent="0.3">
      <c r="A577" s="200">
        <v>16</v>
      </c>
      <c r="B577" s="201" t="s">
        <v>802</v>
      </c>
      <c r="C577" s="201"/>
      <c r="D577" s="201" t="s">
        <v>14</v>
      </c>
      <c r="E577" s="202">
        <v>562500</v>
      </c>
    </row>
    <row r="578" spans="1:5" ht="16.5" x14ac:dyDescent="0.3">
      <c r="A578" s="200">
        <v>17</v>
      </c>
      <c r="B578" s="201" t="s">
        <v>803</v>
      </c>
      <c r="C578" s="201"/>
      <c r="D578" s="201" t="s">
        <v>14</v>
      </c>
      <c r="E578" s="202">
        <v>2340000</v>
      </c>
    </row>
    <row r="579" spans="1:5" ht="16.5" x14ac:dyDescent="0.3">
      <c r="A579" s="200">
        <v>18</v>
      </c>
      <c r="B579" s="201" t="s">
        <v>804</v>
      </c>
      <c r="C579" s="201"/>
      <c r="D579" s="201" t="s">
        <v>14</v>
      </c>
      <c r="E579" s="202">
        <v>2520000</v>
      </c>
    </row>
    <row r="580" spans="1:5" ht="16.5" x14ac:dyDescent="0.3">
      <c r="A580" s="200">
        <v>19</v>
      </c>
      <c r="B580" s="201" t="s">
        <v>805</v>
      </c>
      <c r="C580" s="201"/>
      <c r="D580" s="201" t="s">
        <v>14</v>
      </c>
      <c r="E580" s="202">
        <v>1890000</v>
      </c>
    </row>
    <row r="581" spans="1:5" ht="16.5" x14ac:dyDescent="0.3">
      <c r="A581" s="200"/>
      <c r="B581" s="201"/>
      <c r="C581" s="201"/>
      <c r="D581" s="201"/>
      <c r="E581" s="202"/>
    </row>
    <row r="582" spans="1:5" ht="16.5" x14ac:dyDescent="0.3">
      <c r="A582" s="203" t="s">
        <v>239</v>
      </c>
      <c r="B582" s="204" t="s">
        <v>806</v>
      </c>
      <c r="C582" s="204"/>
      <c r="D582" s="204"/>
      <c r="E582" s="205"/>
    </row>
    <row r="583" spans="1:5" ht="16.5" x14ac:dyDescent="0.3">
      <c r="A583" s="200">
        <v>1</v>
      </c>
      <c r="B583" s="201" t="s">
        <v>807</v>
      </c>
      <c r="C583" s="201"/>
      <c r="D583" s="201" t="s">
        <v>269</v>
      </c>
      <c r="E583" s="202">
        <v>209999.7</v>
      </c>
    </row>
    <row r="584" spans="1:5" ht="16.5" x14ac:dyDescent="0.3">
      <c r="A584" s="200">
        <v>2</v>
      </c>
      <c r="B584" s="201" t="s">
        <v>808</v>
      </c>
      <c r="C584" s="201"/>
      <c r="D584" s="201" t="s">
        <v>269</v>
      </c>
      <c r="E584" s="202">
        <v>243000</v>
      </c>
    </row>
    <row r="585" spans="1:5" ht="16.5" x14ac:dyDescent="0.3">
      <c r="A585" s="200">
        <v>3</v>
      </c>
      <c r="B585" s="201" t="s">
        <v>809</v>
      </c>
      <c r="C585" s="201"/>
      <c r="D585" s="201" t="s">
        <v>269</v>
      </c>
      <c r="E585" s="202">
        <v>175500</v>
      </c>
    </row>
    <row r="586" spans="1:5" ht="16.5" x14ac:dyDescent="0.3">
      <c r="A586" s="200">
        <v>4</v>
      </c>
      <c r="B586" s="201" t="s">
        <v>810</v>
      </c>
      <c r="C586" s="201"/>
      <c r="D586" s="201" t="s">
        <v>269</v>
      </c>
      <c r="E586" s="202">
        <v>67500</v>
      </c>
    </row>
    <row r="587" spans="1:5" ht="16.5" x14ac:dyDescent="0.3">
      <c r="A587" s="200">
        <v>5</v>
      </c>
      <c r="B587" s="201" t="s">
        <v>811</v>
      </c>
      <c r="C587" s="201"/>
      <c r="D587" s="201" t="s">
        <v>269</v>
      </c>
      <c r="E587" s="202">
        <v>1350000</v>
      </c>
    </row>
    <row r="588" spans="1:5" ht="16.5" x14ac:dyDescent="0.3">
      <c r="A588" s="200">
        <v>6</v>
      </c>
      <c r="B588" s="201" t="s">
        <v>812</v>
      </c>
      <c r="C588" s="201"/>
      <c r="D588" s="201" t="s">
        <v>269</v>
      </c>
      <c r="E588" s="202">
        <v>101999.7</v>
      </c>
    </row>
    <row r="589" spans="1:5" ht="16.5" x14ac:dyDescent="0.3">
      <c r="A589" s="200">
        <v>7</v>
      </c>
      <c r="B589" s="201" t="s">
        <v>813</v>
      </c>
      <c r="C589" s="201"/>
      <c r="D589" s="201" t="s">
        <v>269</v>
      </c>
      <c r="E589" s="202">
        <v>18749.7</v>
      </c>
    </row>
    <row r="590" spans="1:5" ht="16.5" x14ac:dyDescent="0.3">
      <c r="A590" s="200">
        <v>8</v>
      </c>
      <c r="B590" s="201" t="s">
        <v>814</v>
      </c>
      <c r="C590" s="201"/>
      <c r="D590" s="201" t="s">
        <v>269</v>
      </c>
      <c r="E590" s="202">
        <v>531000</v>
      </c>
    </row>
    <row r="591" spans="1:5" ht="16.5" x14ac:dyDescent="0.3">
      <c r="A591" s="200">
        <v>9</v>
      </c>
      <c r="B591" s="201" t="s">
        <v>815</v>
      </c>
      <c r="C591" s="201"/>
      <c r="D591" s="201" t="s">
        <v>269</v>
      </c>
      <c r="E591" s="202">
        <v>234000</v>
      </c>
    </row>
    <row r="592" spans="1:5" ht="16.5" x14ac:dyDescent="0.3">
      <c r="A592" s="200">
        <v>10</v>
      </c>
      <c r="B592" s="201" t="s">
        <v>816</v>
      </c>
      <c r="C592" s="201"/>
      <c r="D592" s="201" t="s">
        <v>782</v>
      </c>
      <c r="E592" s="202">
        <v>315000</v>
      </c>
    </row>
    <row r="593" spans="1:5" ht="16.5" x14ac:dyDescent="0.3">
      <c r="A593" s="200">
        <v>11</v>
      </c>
      <c r="B593" s="201" t="s">
        <v>817</v>
      </c>
      <c r="C593" s="201"/>
      <c r="D593" s="201" t="s">
        <v>269</v>
      </c>
      <c r="E593" s="202">
        <v>33750</v>
      </c>
    </row>
    <row r="594" spans="1:5" ht="16.5" x14ac:dyDescent="0.3">
      <c r="A594" s="200">
        <v>12</v>
      </c>
      <c r="B594" s="201" t="s">
        <v>818</v>
      </c>
      <c r="C594" s="201"/>
      <c r="D594" s="201" t="s">
        <v>269</v>
      </c>
      <c r="E594" s="202">
        <v>29250</v>
      </c>
    </row>
    <row r="595" spans="1:5" ht="16.5" x14ac:dyDescent="0.3">
      <c r="A595" s="200"/>
      <c r="B595" s="201"/>
      <c r="C595" s="201"/>
      <c r="D595" s="201"/>
      <c r="E595" s="202"/>
    </row>
    <row r="596" spans="1:5" ht="16.5" x14ac:dyDescent="0.3">
      <c r="A596" s="203" t="s">
        <v>239</v>
      </c>
      <c r="B596" s="204" t="s">
        <v>819</v>
      </c>
      <c r="C596" s="204"/>
      <c r="D596" s="204"/>
      <c r="E596" s="205"/>
    </row>
    <row r="597" spans="1:5" ht="16.5" x14ac:dyDescent="0.3">
      <c r="A597" s="200">
        <v>1</v>
      </c>
      <c r="B597" s="201" t="s">
        <v>820</v>
      </c>
      <c r="C597" s="201"/>
      <c r="D597" s="201" t="s">
        <v>38</v>
      </c>
      <c r="E597" s="202">
        <v>22500</v>
      </c>
    </row>
    <row r="598" spans="1:5" ht="16.5" x14ac:dyDescent="0.3">
      <c r="A598" s="200">
        <v>2</v>
      </c>
      <c r="B598" s="201" t="s">
        <v>821</v>
      </c>
      <c r="C598" s="201"/>
      <c r="D598" s="201" t="s">
        <v>504</v>
      </c>
      <c r="E598" s="202">
        <v>22500</v>
      </c>
    </row>
    <row r="599" spans="1:5" ht="16.5" x14ac:dyDescent="0.3">
      <c r="A599" s="200">
        <v>3</v>
      </c>
      <c r="B599" s="201" t="s">
        <v>822</v>
      </c>
      <c r="C599" s="201"/>
      <c r="D599" s="201" t="s">
        <v>504</v>
      </c>
      <c r="E599" s="202">
        <v>24750</v>
      </c>
    </row>
    <row r="600" spans="1:5" ht="16.5" x14ac:dyDescent="0.3">
      <c r="A600" s="200">
        <v>4</v>
      </c>
      <c r="B600" s="201" t="s">
        <v>823</v>
      </c>
      <c r="C600" s="201"/>
      <c r="D600" s="201" t="s">
        <v>504</v>
      </c>
      <c r="E600" s="202">
        <v>29700</v>
      </c>
    </row>
    <row r="601" spans="1:5" ht="16.5" x14ac:dyDescent="0.3">
      <c r="A601" s="200">
        <v>5</v>
      </c>
      <c r="B601" s="201" t="s">
        <v>824</v>
      </c>
      <c r="C601" s="201"/>
      <c r="D601" s="201" t="s">
        <v>504</v>
      </c>
      <c r="E601" s="202">
        <v>11604.6</v>
      </c>
    </row>
    <row r="602" spans="1:5" ht="16.5" x14ac:dyDescent="0.3">
      <c r="A602" s="200">
        <v>6</v>
      </c>
      <c r="B602" s="201" t="s">
        <v>825</v>
      </c>
      <c r="C602" s="201"/>
      <c r="D602" s="201" t="s">
        <v>504</v>
      </c>
      <c r="E602" s="202">
        <v>6750</v>
      </c>
    </row>
    <row r="603" spans="1:5" ht="16.5" x14ac:dyDescent="0.3">
      <c r="A603" s="200">
        <v>7</v>
      </c>
      <c r="B603" s="201" t="s">
        <v>826</v>
      </c>
      <c r="C603" s="201"/>
      <c r="D603" s="201" t="s">
        <v>504</v>
      </c>
      <c r="E603" s="202">
        <v>10604.7</v>
      </c>
    </row>
    <row r="604" spans="1:5" ht="16.5" x14ac:dyDescent="0.3">
      <c r="A604" s="200">
        <v>8</v>
      </c>
      <c r="B604" s="201" t="s">
        <v>827</v>
      </c>
      <c r="C604" s="201"/>
      <c r="D604" s="201" t="s">
        <v>504</v>
      </c>
      <c r="E604" s="202">
        <v>7650</v>
      </c>
    </row>
    <row r="605" spans="1:5" ht="16.5" x14ac:dyDescent="0.3">
      <c r="A605" s="200">
        <v>9</v>
      </c>
      <c r="B605" s="201" t="s">
        <v>828</v>
      </c>
      <c r="C605" s="201"/>
      <c r="D605" s="201" t="s">
        <v>504</v>
      </c>
      <c r="E605" s="202">
        <v>12011.4</v>
      </c>
    </row>
    <row r="606" spans="1:5" ht="16.5" x14ac:dyDescent="0.3">
      <c r="A606" s="200">
        <v>10</v>
      </c>
      <c r="B606" s="201" t="s">
        <v>829</v>
      </c>
      <c r="C606" s="201"/>
      <c r="D606" s="201" t="s">
        <v>504</v>
      </c>
      <c r="E606" s="202">
        <v>19800</v>
      </c>
    </row>
    <row r="607" spans="1:5" ht="16.5" x14ac:dyDescent="0.3">
      <c r="A607" s="200">
        <v>11</v>
      </c>
      <c r="B607" s="201" t="s">
        <v>830</v>
      </c>
      <c r="C607" s="201"/>
      <c r="D607" s="201" t="s">
        <v>504</v>
      </c>
      <c r="E607" s="202">
        <v>7000</v>
      </c>
    </row>
    <row r="608" spans="1:5" ht="16.5" x14ac:dyDescent="0.3">
      <c r="A608" s="200">
        <v>12</v>
      </c>
      <c r="B608" s="201" t="s">
        <v>831</v>
      </c>
      <c r="C608" s="201"/>
      <c r="D608" s="201" t="s">
        <v>504</v>
      </c>
      <c r="E608" s="202">
        <v>23400</v>
      </c>
    </row>
    <row r="609" spans="1:5" ht="16.5" x14ac:dyDescent="0.3">
      <c r="A609" s="200">
        <v>13</v>
      </c>
      <c r="B609" s="201" t="s">
        <v>832</v>
      </c>
      <c r="C609" s="201"/>
      <c r="D609" s="201" t="s">
        <v>504</v>
      </c>
      <c r="E609" s="202">
        <v>22500</v>
      </c>
    </row>
    <row r="610" spans="1:5" ht="16.5" x14ac:dyDescent="0.3">
      <c r="A610" s="200">
        <v>14</v>
      </c>
      <c r="B610" s="201" t="s">
        <v>833</v>
      </c>
      <c r="C610" s="201"/>
      <c r="D610" s="201" t="s">
        <v>504</v>
      </c>
      <c r="E610" s="202">
        <v>24750</v>
      </c>
    </row>
    <row r="611" spans="1:5" ht="16.5" x14ac:dyDescent="0.3">
      <c r="A611" s="200">
        <v>15</v>
      </c>
      <c r="B611" s="201" t="s">
        <v>834</v>
      </c>
      <c r="C611" s="201"/>
      <c r="D611" s="201" t="s">
        <v>504</v>
      </c>
      <c r="E611" s="202">
        <v>42750</v>
      </c>
    </row>
    <row r="612" spans="1:5" ht="16.5" x14ac:dyDescent="0.3">
      <c r="A612" s="200">
        <v>16</v>
      </c>
      <c r="B612" s="201" t="s">
        <v>835</v>
      </c>
      <c r="C612" s="201"/>
      <c r="D612" s="201" t="s">
        <v>504</v>
      </c>
      <c r="E612" s="202">
        <v>18000</v>
      </c>
    </row>
    <row r="613" spans="1:5" ht="16.5" x14ac:dyDescent="0.3">
      <c r="A613" s="200">
        <v>17</v>
      </c>
      <c r="B613" s="201" t="s">
        <v>836</v>
      </c>
      <c r="C613" s="201"/>
      <c r="D613" s="201" t="s">
        <v>504</v>
      </c>
      <c r="E613" s="202">
        <v>8203.5</v>
      </c>
    </row>
    <row r="614" spans="1:5" ht="16.5" x14ac:dyDescent="0.3">
      <c r="A614" s="200"/>
      <c r="B614" s="201"/>
      <c r="C614" s="201"/>
      <c r="D614" s="201"/>
      <c r="E614" s="202"/>
    </row>
    <row r="615" spans="1:5" ht="16.5" x14ac:dyDescent="0.3">
      <c r="A615" s="203" t="s">
        <v>239</v>
      </c>
      <c r="B615" s="204" t="s">
        <v>837</v>
      </c>
      <c r="C615" s="204"/>
      <c r="D615" s="204"/>
      <c r="E615" s="205"/>
    </row>
    <row r="616" spans="1:5" ht="16.5" x14ac:dyDescent="0.3">
      <c r="A616" s="200">
        <v>1</v>
      </c>
      <c r="B616" s="201" t="s">
        <v>838</v>
      </c>
      <c r="C616" s="201"/>
      <c r="D616" s="201" t="s">
        <v>368</v>
      </c>
      <c r="E616" s="202">
        <v>85500</v>
      </c>
    </row>
    <row r="617" spans="1:5" ht="16.5" x14ac:dyDescent="0.3">
      <c r="A617" s="200">
        <v>2</v>
      </c>
      <c r="B617" s="201" t="s">
        <v>839</v>
      </c>
      <c r="C617" s="201"/>
      <c r="D617" s="201" t="s">
        <v>368</v>
      </c>
      <c r="E617" s="202">
        <v>81000</v>
      </c>
    </row>
    <row r="618" spans="1:5" ht="16.5" x14ac:dyDescent="0.3">
      <c r="A618" s="200">
        <v>3</v>
      </c>
      <c r="B618" s="201" t="s">
        <v>840</v>
      </c>
      <c r="C618" s="201"/>
      <c r="D618" s="201" t="s">
        <v>368</v>
      </c>
      <c r="E618" s="202">
        <v>34650</v>
      </c>
    </row>
    <row r="619" spans="1:5" ht="16.5" x14ac:dyDescent="0.3">
      <c r="A619" s="200">
        <v>4</v>
      </c>
      <c r="B619" s="201" t="s">
        <v>841</v>
      </c>
      <c r="C619" s="201"/>
      <c r="D619" s="201" t="s">
        <v>269</v>
      </c>
      <c r="E619" s="202">
        <v>495</v>
      </c>
    </row>
    <row r="620" spans="1:5" ht="16.5" x14ac:dyDescent="0.3">
      <c r="A620" s="200">
        <v>5</v>
      </c>
      <c r="B620" s="201" t="s">
        <v>842</v>
      </c>
      <c r="C620" s="201"/>
      <c r="D620" s="201" t="s">
        <v>14</v>
      </c>
      <c r="E620" s="202">
        <v>495000</v>
      </c>
    </row>
    <row r="621" spans="1:5" ht="16.5" x14ac:dyDescent="0.3">
      <c r="A621" s="200">
        <v>6</v>
      </c>
      <c r="B621" s="201" t="s">
        <v>843</v>
      </c>
      <c r="C621" s="201"/>
      <c r="D621" s="201" t="s">
        <v>14</v>
      </c>
      <c r="E621" s="202">
        <v>405000</v>
      </c>
    </row>
    <row r="622" spans="1:5" ht="16.5" x14ac:dyDescent="0.3">
      <c r="A622" s="200">
        <v>7</v>
      </c>
      <c r="B622" s="201" t="s">
        <v>844</v>
      </c>
      <c r="C622" s="201"/>
      <c r="D622" s="201" t="s">
        <v>269</v>
      </c>
      <c r="E622" s="202">
        <v>360000</v>
      </c>
    </row>
    <row r="623" spans="1:5" ht="16.5" x14ac:dyDescent="0.3">
      <c r="A623" s="200">
        <v>8</v>
      </c>
      <c r="B623" s="201" t="s">
        <v>845</v>
      </c>
      <c r="C623" s="201"/>
      <c r="D623" s="201" t="s">
        <v>14</v>
      </c>
      <c r="E623" s="202">
        <v>405000</v>
      </c>
    </row>
    <row r="624" spans="1:5" ht="16.5" x14ac:dyDescent="0.3">
      <c r="A624" s="200">
        <v>9</v>
      </c>
      <c r="B624" s="201" t="s">
        <v>846</v>
      </c>
      <c r="C624" s="201"/>
      <c r="D624" s="201" t="s">
        <v>368</v>
      </c>
      <c r="E624" s="202">
        <v>72000</v>
      </c>
    </row>
    <row r="625" spans="1:5" ht="16.5" x14ac:dyDescent="0.3">
      <c r="A625" s="200">
        <v>10</v>
      </c>
      <c r="B625" s="201" t="s">
        <v>847</v>
      </c>
      <c r="C625" s="201"/>
      <c r="D625" s="201" t="s">
        <v>14</v>
      </c>
      <c r="E625" s="202">
        <v>315000</v>
      </c>
    </row>
    <row r="626" spans="1:5" ht="16.5" x14ac:dyDescent="0.3">
      <c r="A626" s="200">
        <v>11</v>
      </c>
      <c r="B626" s="201" t="s">
        <v>848</v>
      </c>
      <c r="C626" s="201"/>
      <c r="D626" s="201" t="s">
        <v>14</v>
      </c>
      <c r="E626" s="202">
        <v>495000</v>
      </c>
    </row>
    <row r="627" spans="1:5" ht="16.5" x14ac:dyDescent="0.3">
      <c r="A627" s="200">
        <v>12</v>
      </c>
      <c r="B627" s="201" t="s">
        <v>849</v>
      </c>
      <c r="C627" s="201"/>
      <c r="D627" s="201" t="s">
        <v>16</v>
      </c>
      <c r="E627" s="202">
        <v>6930</v>
      </c>
    </row>
    <row r="628" spans="1:5" ht="16.5" x14ac:dyDescent="0.3">
      <c r="A628" s="200">
        <v>13</v>
      </c>
      <c r="B628" s="201" t="s">
        <v>850</v>
      </c>
      <c r="C628" s="201"/>
      <c r="D628" s="201" t="s">
        <v>16</v>
      </c>
      <c r="E628" s="202">
        <v>13050</v>
      </c>
    </row>
    <row r="629" spans="1:5" ht="16.5" x14ac:dyDescent="0.3">
      <c r="A629" s="200">
        <v>14</v>
      </c>
      <c r="B629" s="201" t="s">
        <v>851</v>
      </c>
      <c r="C629" s="201"/>
      <c r="D629" s="201" t="s">
        <v>16</v>
      </c>
      <c r="E629" s="202">
        <v>6220.8</v>
      </c>
    </row>
    <row r="630" spans="1:5" ht="16.5" x14ac:dyDescent="0.3">
      <c r="A630" s="200">
        <v>15</v>
      </c>
      <c r="B630" s="201" t="s">
        <v>852</v>
      </c>
      <c r="C630" s="201"/>
      <c r="D630" s="201" t="s">
        <v>16</v>
      </c>
      <c r="E630" s="202">
        <v>7717.5</v>
      </c>
    </row>
    <row r="631" spans="1:5" ht="16.5" x14ac:dyDescent="0.3">
      <c r="A631" s="200">
        <v>16</v>
      </c>
      <c r="B631" s="201" t="s">
        <v>1239</v>
      </c>
      <c r="C631" s="201"/>
      <c r="D631" s="201" t="s">
        <v>1243</v>
      </c>
      <c r="E631" s="202">
        <v>24000</v>
      </c>
    </row>
    <row r="632" spans="1:5" ht="16.5" x14ac:dyDescent="0.3">
      <c r="A632" s="200">
        <v>17</v>
      </c>
      <c r="B632" s="201" t="s">
        <v>1240</v>
      </c>
      <c r="C632" s="201"/>
      <c r="D632" s="201" t="s">
        <v>1243</v>
      </c>
      <c r="E632" s="202">
        <v>18000</v>
      </c>
    </row>
    <row r="633" spans="1:5" ht="16.5" x14ac:dyDescent="0.3">
      <c r="A633" s="200">
        <v>18</v>
      </c>
      <c r="B633" s="201" t="s">
        <v>1240</v>
      </c>
      <c r="C633" s="201"/>
      <c r="D633" s="201" t="s">
        <v>1243</v>
      </c>
      <c r="E633" s="202">
        <v>18000</v>
      </c>
    </row>
    <row r="634" spans="1:5" ht="16.5" x14ac:dyDescent="0.3">
      <c r="A634" s="200">
        <v>19</v>
      </c>
      <c r="B634" s="201" t="s">
        <v>1241</v>
      </c>
      <c r="C634" s="201"/>
      <c r="D634" s="201" t="s">
        <v>25</v>
      </c>
      <c r="E634" s="202">
        <v>350</v>
      </c>
    </row>
    <row r="635" spans="1:5" ht="16.5" x14ac:dyDescent="0.3">
      <c r="A635" s="200">
        <v>20</v>
      </c>
      <c r="B635" s="201" t="s">
        <v>1242</v>
      </c>
      <c r="C635" s="201"/>
      <c r="D635" s="201" t="s">
        <v>1244</v>
      </c>
      <c r="E635" s="202">
        <v>2500</v>
      </c>
    </row>
    <row r="636" spans="1:5" ht="16.5" x14ac:dyDescent="0.3">
      <c r="A636" s="200">
        <v>21</v>
      </c>
      <c r="B636" s="201" t="s">
        <v>853</v>
      </c>
      <c r="C636" s="201"/>
      <c r="D636" s="201" t="s">
        <v>16</v>
      </c>
      <c r="E636" s="202">
        <v>61200</v>
      </c>
    </row>
    <row r="637" spans="1:5" ht="16.5" x14ac:dyDescent="0.3">
      <c r="A637" s="200">
        <v>22</v>
      </c>
      <c r="B637" s="201" t="s">
        <v>854</v>
      </c>
      <c r="C637" s="201"/>
      <c r="D637" s="201" t="s">
        <v>16</v>
      </c>
      <c r="E637" s="202">
        <v>63000</v>
      </c>
    </row>
    <row r="638" spans="1:5" ht="16.5" x14ac:dyDescent="0.3">
      <c r="A638" s="200">
        <v>23</v>
      </c>
      <c r="B638" s="201" t="s">
        <v>794</v>
      </c>
      <c r="C638" s="201"/>
      <c r="D638" s="201" t="s">
        <v>16</v>
      </c>
      <c r="E638" s="202">
        <v>4500</v>
      </c>
    </row>
    <row r="639" spans="1:5" ht="16.5" x14ac:dyDescent="0.3">
      <c r="A639" s="200">
        <v>24</v>
      </c>
      <c r="B639" s="201" t="s">
        <v>855</v>
      </c>
      <c r="C639" s="201"/>
      <c r="D639" s="201" t="s">
        <v>16</v>
      </c>
      <c r="E639" s="202">
        <v>9000</v>
      </c>
    </row>
    <row r="640" spans="1:5" ht="16.5" x14ac:dyDescent="0.3">
      <c r="A640" s="200">
        <v>25</v>
      </c>
      <c r="B640" s="201" t="s">
        <v>856</v>
      </c>
      <c r="C640" s="201"/>
      <c r="D640" s="201" t="s">
        <v>16</v>
      </c>
      <c r="E640" s="202">
        <v>63000</v>
      </c>
    </row>
    <row r="641" spans="1:5" ht="16.5" x14ac:dyDescent="0.3">
      <c r="A641" s="200"/>
      <c r="B641" s="201"/>
      <c r="C641" s="201"/>
      <c r="D641" s="201"/>
      <c r="E641" s="202"/>
    </row>
    <row r="642" spans="1:5" ht="16.5" x14ac:dyDescent="0.3">
      <c r="A642" s="203" t="s">
        <v>239</v>
      </c>
      <c r="B642" s="204" t="s">
        <v>857</v>
      </c>
      <c r="C642" s="204"/>
      <c r="D642" s="204"/>
      <c r="E642" s="205"/>
    </row>
    <row r="643" spans="1:5" ht="16.5" x14ac:dyDescent="0.3">
      <c r="A643" s="200">
        <v>1</v>
      </c>
      <c r="B643" s="201" t="s">
        <v>858</v>
      </c>
      <c r="C643" s="201"/>
      <c r="D643" s="201" t="s">
        <v>320</v>
      </c>
      <c r="E643" s="202">
        <v>540000</v>
      </c>
    </row>
    <row r="644" spans="1:5" ht="16.5" x14ac:dyDescent="0.3">
      <c r="A644" s="200">
        <v>2</v>
      </c>
      <c r="B644" s="201" t="s">
        <v>859</v>
      </c>
      <c r="C644" s="201"/>
      <c r="D644" s="201" t="s">
        <v>320</v>
      </c>
      <c r="E644" s="202">
        <v>589500</v>
      </c>
    </row>
    <row r="645" spans="1:5" ht="16.5" x14ac:dyDescent="0.3">
      <c r="A645" s="200">
        <v>3</v>
      </c>
      <c r="B645" s="201" t="s">
        <v>860</v>
      </c>
      <c r="C645" s="201"/>
      <c r="D645" s="201" t="s">
        <v>320</v>
      </c>
      <c r="E645" s="202">
        <v>729000</v>
      </c>
    </row>
    <row r="646" spans="1:5" ht="16.5" x14ac:dyDescent="0.3">
      <c r="A646" s="200">
        <v>4</v>
      </c>
      <c r="B646" s="201" t="s">
        <v>861</v>
      </c>
      <c r="C646" s="201"/>
      <c r="D646" s="201" t="s">
        <v>320</v>
      </c>
      <c r="E646" s="202">
        <v>819000</v>
      </c>
    </row>
    <row r="647" spans="1:5" ht="16.5" x14ac:dyDescent="0.3">
      <c r="A647" s="200">
        <v>5</v>
      </c>
      <c r="B647" s="201" t="s">
        <v>862</v>
      </c>
      <c r="C647" s="201"/>
      <c r="D647" s="201" t="s">
        <v>299</v>
      </c>
      <c r="E647" s="202">
        <v>139500</v>
      </c>
    </row>
    <row r="648" spans="1:5" ht="16.5" x14ac:dyDescent="0.3">
      <c r="A648" s="200">
        <v>6</v>
      </c>
      <c r="B648" s="201" t="s">
        <v>863</v>
      </c>
      <c r="C648" s="201"/>
      <c r="D648" s="201" t="s">
        <v>299</v>
      </c>
      <c r="E648" s="202">
        <v>184500</v>
      </c>
    </row>
    <row r="649" spans="1:5" ht="16.5" x14ac:dyDescent="0.3">
      <c r="A649" s="200">
        <v>7</v>
      </c>
      <c r="B649" s="201" t="s">
        <v>864</v>
      </c>
      <c r="C649" s="201"/>
      <c r="D649" s="201" t="s">
        <v>299</v>
      </c>
      <c r="E649" s="202">
        <v>202500</v>
      </c>
    </row>
    <row r="650" spans="1:5" ht="16.5" x14ac:dyDescent="0.3">
      <c r="A650" s="200">
        <v>8</v>
      </c>
      <c r="B650" s="201" t="s">
        <v>865</v>
      </c>
      <c r="C650" s="201"/>
      <c r="D650" s="201" t="s">
        <v>299</v>
      </c>
      <c r="E650" s="202">
        <v>229500</v>
      </c>
    </row>
    <row r="651" spans="1:5" ht="16.5" x14ac:dyDescent="0.3">
      <c r="A651" s="200">
        <v>9</v>
      </c>
      <c r="B651" s="201" t="s">
        <v>866</v>
      </c>
      <c r="C651" s="201"/>
      <c r="D651" s="201" t="s">
        <v>46</v>
      </c>
      <c r="E651" s="202">
        <v>607500</v>
      </c>
    </row>
    <row r="652" spans="1:5" ht="16.5" x14ac:dyDescent="0.3">
      <c r="A652" s="200">
        <v>10</v>
      </c>
      <c r="B652" s="201" t="s">
        <v>867</v>
      </c>
      <c r="C652" s="201"/>
      <c r="D652" s="201" t="s">
        <v>46</v>
      </c>
      <c r="E652" s="202">
        <v>679500</v>
      </c>
    </row>
    <row r="653" spans="1:5" ht="16.5" x14ac:dyDescent="0.3">
      <c r="A653" s="200">
        <v>11</v>
      </c>
      <c r="B653" s="201" t="s">
        <v>868</v>
      </c>
      <c r="C653" s="201"/>
      <c r="D653" s="201" t="s">
        <v>46</v>
      </c>
      <c r="E653" s="202">
        <v>751500</v>
      </c>
    </row>
    <row r="654" spans="1:5" ht="16.5" x14ac:dyDescent="0.3">
      <c r="A654" s="200">
        <v>12</v>
      </c>
      <c r="B654" s="201" t="s">
        <v>869</v>
      </c>
      <c r="C654" s="201"/>
      <c r="D654" s="201" t="s">
        <v>46</v>
      </c>
      <c r="E654" s="202">
        <v>904500</v>
      </c>
    </row>
    <row r="655" spans="1:5" ht="16.5" x14ac:dyDescent="0.3">
      <c r="A655" s="200">
        <v>13</v>
      </c>
      <c r="B655" s="201" t="s">
        <v>870</v>
      </c>
      <c r="C655" s="201"/>
      <c r="D655" s="201" t="s">
        <v>46</v>
      </c>
      <c r="E655" s="202">
        <v>990000</v>
      </c>
    </row>
    <row r="656" spans="1:5" ht="16.5" x14ac:dyDescent="0.3">
      <c r="A656" s="200">
        <v>14</v>
      </c>
      <c r="B656" s="201" t="s">
        <v>871</v>
      </c>
      <c r="C656" s="201"/>
      <c r="D656" s="201" t="s">
        <v>46</v>
      </c>
      <c r="E656" s="202">
        <v>945000</v>
      </c>
    </row>
    <row r="657" spans="1:5" ht="16.5" x14ac:dyDescent="0.3">
      <c r="A657" s="200">
        <v>15</v>
      </c>
      <c r="B657" s="201" t="s">
        <v>872</v>
      </c>
      <c r="C657" s="201"/>
      <c r="D657" s="201" t="s">
        <v>46</v>
      </c>
      <c r="E657" s="202">
        <v>1015200</v>
      </c>
    </row>
    <row r="658" spans="1:5" ht="16.5" x14ac:dyDescent="0.3">
      <c r="A658" s="200">
        <v>16</v>
      </c>
      <c r="B658" s="201" t="s">
        <v>873</v>
      </c>
      <c r="C658" s="201"/>
      <c r="D658" s="201" t="s">
        <v>46</v>
      </c>
      <c r="E658" s="202">
        <v>1125000</v>
      </c>
    </row>
    <row r="659" spans="1:5" ht="16.5" x14ac:dyDescent="0.3">
      <c r="A659" s="200"/>
      <c r="B659" s="201"/>
      <c r="C659" s="201"/>
      <c r="D659" s="201"/>
      <c r="E659" s="202"/>
    </row>
    <row r="660" spans="1:5" ht="16.5" x14ac:dyDescent="0.3">
      <c r="A660" s="203" t="s">
        <v>239</v>
      </c>
      <c r="B660" s="204" t="s">
        <v>874</v>
      </c>
      <c r="C660" s="204"/>
      <c r="D660" s="204"/>
      <c r="E660" s="205"/>
    </row>
    <row r="661" spans="1:5" ht="16.5" x14ac:dyDescent="0.3">
      <c r="A661" s="200">
        <v>1</v>
      </c>
      <c r="B661" s="201" t="s">
        <v>875</v>
      </c>
      <c r="C661" s="201" t="s">
        <v>239</v>
      </c>
      <c r="D661" s="201" t="s">
        <v>269</v>
      </c>
      <c r="E661" s="202">
        <v>114345</v>
      </c>
    </row>
    <row r="662" spans="1:5" ht="16.5" x14ac:dyDescent="0.3">
      <c r="A662" s="200">
        <v>2</v>
      </c>
      <c r="B662" s="201" t="s">
        <v>876</v>
      </c>
      <c r="C662" s="201" t="s">
        <v>239</v>
      </c>
      <c r="D662" s="201" t="s">
        <v>269</v>
      </c>
      <c r="E662" s="202">
        <v>129937.5</v>
      </c>
    </row>
    <row r="663" spans="1:5" ht="16.5" x14ac:dyDescent="0.3">
      <c r="A663" s="200">
        <v>3</v>
      </c>
      <c r="B663" s="201" t="s">
        <v>877</v>
      </c>
      <c r="C663" s="201" t="s">
        <v>239</v>
      </c>
      <c r="D663" s="201" t="s">
        <v>269</v>
      </c>
      <c r="E663" s="202">
        <v>140332.5</v>
      </c>
    </row>
    <row r="664" spans="1:5" ht="16.5" x14ac:dyDescent="0.3">
      <c r="A664" s="200">
        <v>4</v>
      </c>
      <c r="B664" s="201" t="s">
        <v>878</v>
      </c>
      <c r="C664" s="201" t="s">
        <v>239</v>
      </c>
      <c r="D664" s="201" t="s">
        <v>269</v>
      </c>
      <c r="E664" s="202">
        <v>150727.5</v>
      </c>
    </row>
    <row r="665" spans="1:5" ht="16.5" x14ac:dyDescent="0.3">
      <c r="A665" s="200">
        <v>5</v>
      </c>
      <c r="B665" s="201" t="s">
        <v>879</v>
      </c>
      <c r="C665" s="201" t="s">
        <v>239</v>
      </c>
      <c r="D665" s="201" t="s">
        <v>269</v>
      </c>
      <c r="E665" s="202">
        <v>493762.5</v>
      </c>
    </row>
    <row r="666" spans="1:5" ht="16.5" x14ac:dyDescent="0.3">
      <c r="A666" s="200">
        <v>6</v>
      </c>
      <c r="B666" s="201" t="s">
        <v>880</v>
      </c>
      <c r="C666" s="201" t="s">
        <v>239</v>
      </c>
      <c r="D666" s="201" t="s">
        <v>269</v>
      </c>
      <c r="E666" s="202">
        <v>88357.5</v>
      </c>
    </row>
    <row r="667" spans="1:5" ht="16.5" x14ac:dyDescent="0.3">
      <c r="A667" s="200">
        <v>7</v>
      </c>
      <c r="B667" s="201" t="s">
        <v>881</v>
      </c>
      <c r="C667" s="201" t="s">
        <v>239</v>
      </c>
      <c r="D667" s="201" t="s">
        <v>269</v>
      </c>
      <c r="E667" s="202">
        <v>136248.30000000002</v>
      </c>
    </row>
    <row r="668" spans="1:5" ht="16.5" x14ac:dyDescent="0.3">
      <c r="A668" s="200">
        <v>8</v>
      </c>
      <c r="B668" s="201" t="s">
        <v>882</v>
      </c>
      <c r="C668" s="201" t="s">
        <v>239</v>
      </c>
      <c r="D668" s="201" t="s">
        <v>269</v>
      </c>
      <c r="E668" s="202">
        <v>197505</v>
      </c>
    </row>
    <row r="669" spans="1:5" ht="16.5" x14ac:dyDescent="0.3">
      <c r="A669" s="200">
        <v>9</v>
      </c>
      <c r="B669" s="201" t="s">
        <v>883</v>
      </c>
      <c r="C669" s="201" t="s">
        <v>239</v>
      </c>
      <c r="D669" s="201" t="s">
        <v>269</v>
      </c>
      <c r="E669" s="202">
        <v>4968000</v>
      </c>
    </row>
    <row r="670" spans="1:5" ht="16.5" x14ac:dyDescent="0.3">
      <c r="A670" s="200">
        <v>10</v>
      </c>
      <c r="B670" s="201" t="s">
        <v>884</v>
      </c>
      <c r="C670" s="201" t="s">
        <v>239</v>
      </c>
      <c r="D670" s="201" t="s">
        <v>269</v>
      </c>
      <c r="E670" s="202">
        <v>19180.8</v>
      </c>
    </row>
    <row r="671" spans="1:5" ht="16.5" x14ac:dyDescent="0.3">
      <c r="A671" s="200">
        <v>11</v>
      </c>
      <c r="B671" s="201" t="s">
        <v>885</v>
      </c>
      <c r="C671" s="201" t="s">
        <v>239</v>
      </c>
      <c r="D671" s="201" t="s">
        <v>269</v>
      </c>
      <c r="E671" s="202">
        <v>4956.3</v>
      </c>
    </row>
    <row r="672" spans="1:5" ht="16.5" x14ac:dyDescent="0.3">
      <c r="A672" s="200">
        <v>12</v>
      </c>
      <c r="B672" s="201" t="s">
        <v>886</v>
      </c>
      <c r="C672" s="201" t="s">
        <v>239</v>
      </c>
      <c r="D672" s="201" t="s">
        <v>269</v>
      </c>
      <c r="E672" s="202">
        <v>34650</v>
      </c>
    </row>
    <row r="673" spans="1:5" ht="16.5" x14ac:dyDescent="0.3">
      <c r="A673" s="200">
        <v>13</v>
      </c>
      <c r="B673" s="201" t="s">
        <v>887</v>
      </c>
      <c r="C673" s="201" t="s">
        <v>239</v>
      </c>
      <c r="D673" s="201" t="s">
        <v>269</v>
      </c>
      <c r="E673" s="202">
        <v>74571.3</v>
      </c>
    </row>
    <row r="674" spans="1:5" ht="16.5" x14ac:dyDescent="0.3">
      <c r="A674" s="200">
        <v>14</v>
      </c>
      <c r="B674" s="201" t="s">
        <v>888</v>
      </c>
      <c r="C674" s="201" t="s">
        <v>239</v>
      </c>
      <c r="D674" s="201" t="s">
        <v>269</v>
      </c>
      <c r="E674" s="202">
        <v>245643.30000000002</v>
      </c>
    </row>
    <row r="675" spans="1:5" ht="16.5" x14ac:dyDescent="0.3">
      <c r="A675" s="200">
        <v>15</v>
      </c>
      <c r="B675" s="201" t="s">
        <v>889</v>
      </c>
      <c r="C675" s="201" t="s">
        <v>239</v>
      </c>
      <c r="D675" s="201" t="s">
        <v>269</v>
      </c>
      <c r="E675" s="202">
        <v>744975</v>
      </c>
    </row>
    <row r="676" spans="1:5" ht="16.5" x14ac:dyDescent="0.3">
      <c r="A676" s="200">
        <v>16</v>
      </c>
      <c r="B676" s="201" t="s">
        <v>890</v>
      </c>
      <c r="C676" s="201" t="s">
        <v>239</v>
      </c>
      <c r="D676" s="201" t="s">
        <v>782</v>
      </c>
      <c r="E676" s="202">
        <v>104556.6</v>
      </c>
    </row>
    <row r="677" spans="1:5" ht="16.5" x14ac:dyDescent="0.3">
      <c r="A677" s="200">
        <v>17</v>
      </c>
      <c r="B677" s="201" t="s">
        <v>891</v>
      </c>
      <c r="C677" s="201" t="s">
        <v>239</v>
      </c>
      <c r="D677" s="201" t="s">
        <v>782</v>
      </c>
      <c r="E677" s="202">
        <v>133056</v>
      </c>
    </row>
    <row r="678" spans="1:5" ht="16.5" x14ac:dyDescent="0.3">
      <c r="A678" s="200">
        <v>18</v>
      </c>
      <c r="B678" s="201" t="s">
        <v>892</v>
      </c>
      <c r="C678" s="201" t="s">
        <v>239</v>
      </c>
      <c r="D678" s="201" t="s">
        <v>782</v>
      </c>
      <c r="E678" s="202">
        <v>140332.5</v>
      </c>
    </row>
    <row r="679" spans="1:5" ht="16.5" x14ac:dyDescent="0.3">
      <c r="A679" s="200">
        <v>19</v>
      </c>
      <c r="B679" s="201" t="s">
        <v>893</v>
      </c>
      <c r="C679" s="201" t="s">
        <v>239</v>
      </c>
      <c r="D679" s="201" t="s">
        <v>782</v>
      </c>
      <c r="E679" s="202">
        <v>158004</v>
      </c>
    </row>
    <row r="680" spans="1:5" ht="16.5" x14ac:dyDescent="0.3">
      <c r="A680" s="200">
        <v>20</v>
      </c>
      <c r="B680" s="201" t="s">
        <v>894</v>
      </c>
      <c r="C680" s="201" t="s">
        <v>239</v>
      </c>
      <c r="D680" s="201" t="s">
        <v>782</v>
      </c>
      <c r="E680" s="202">
        <v>1868400</v>
      </c>
    </row>
    <row r="681" spans="1:5" ht="16.5" x14ac:dyDescent="0.3">
      <c r="A681" s="200">
        <v>21</v>
      </c>
      <c r="B681" s="201" t="s">
        <v>895</v>
      </c>
      <c r="C681" s="201" t="s">
        <v>239</v>
      </c>
      <c r="D681" s="201" t="s">
        <v>782</v>
      </c>
      <c r="E681" s="202">
        <v>2518200</v>
      </c>
    </row>
    <row r="682" spans="1:5" ht="16.5" x14ac:dyDescent="0.3">
      <c r="A682" s="200">
        <v>22</v>
      </c>
      <c r="B682" s="201" t="s">
        <v>896</v>
      </c>
      <c r="C682" s="201" t="s">
        <v>239</v>
      </c>
      <c r="D682" s="201" t="s">
        <v>782</v>
      </c>
      <c r="E682" s="202">
        <v>2642400</v>
      </c>
    </row>
    <row r="683" spans="1:5" ht="16.5" x14ac:dyDescent="0.3">
      <c r="A683" s="200">
        <v>23</v>
      </c>
      <c r="B683" s="201" t="s">
        <v>897</v>
      </c>
      <c r="C683" s="201" t="s">
        <v>239</v>
      </c>
      <c r="D683" s="201" t="s">
        <v>782</v>
      </c>
      <c r="E683" s="202">
        <v>3420000</v>
      </c>
    </row>
    <row r="684" spans="1:5" ht="16.5" x14ac:dyDescent="0.3">
      <c r="A684" s="200">
        <v>24</v>
      </c>
      <c r="B684" s="201" t="s">
        <v>898</v>
      </c>
      <c r="C684" s="201" t="s">
        <v>239</v>
      </c>
      <c r="D684" s="201" t="s">
        <v>782</v>
      </c>
      <c r="E684" s="202">
        <v>3165277.5</v>
      </c>
    </row>
    <row r="685" spans="1:5" ht="16.5" x14ac:dyDescent="0.3">
      <c r="A685" s="200">
        <v>25</v>
      </c>
      <c r="B685" s="201" t="s">
        <v>899</v>
      </c>
      <c r="C685" s="201"/>
      <c r="D685" s="201" t="s">
        <v>782</v>
      </c>
      <c r="E685" s="202">
        <v>5445000</v>
      </c>
    </row>
    <row r="686" spans="1:5" ht="16.5" x14ac:dyDescent="0.3">
      <c r="A686" s="200">
        <v>26</v>
      </c>
      <c r="B686" s="201" t="s">
        <v>900</v>
      </c>
      <c r="C686" s="201" t="s">
        <v>239</v>
      </c>
      <c r="D686" s="201" t="s">
        <v>782</v>
      </c>
      <c r="E686" s="202">
        <v>9207000</v>
      </c>
    </row>
    <row r="687" spans="1:5" ht="16.5" x14ac:dyDescent="0.3">
      <c r="A687" s="200">
        <v>27</v>
      </c>
      <c r="B687" s="201" t="s">
        <v>901</v>
      </c>
      <c r="C687" s="201" t="s">
        <v>239</v>
      </c>
      <c r="D687" s="201" t="s">
        <v>368</v>
      </c>
      <c r="E687" s="202">
        <v>58780.800000000003</v>
      </c>
    </row>
    <row r="688" spans="1:5" ht="16.5" x14ac:dyDescent="0.3">
      <c r="A688" s="200">
        <v>28</v>
      </c>
      <c r="B688" s="201" t="s">
        <v>902</v>
      </c>
      <c r="C688" s="201" t="s">
        <v>239</v>
      </c>
      <c r="D688" s="201" t="s">
        <v>368</v>
      </c>
      <c r="E688" s="202">
        <v>81675</v>
      </c>
    </row>
    <row r="689" spans="1:5" ht="16.5" x14ac:dyDescent="0.3">
      <c r="A689" s="200">
        <v>29</v>
      </c>
      <c r="B689" s="201" t="s">
        <v>903</v>
      </c>
      <c r="C689" s="201" t="s">
        <v>239</v>
      </c>
      <c r="D689" s="201" t="s">
        <v>368</v>
      </c>
      <c r="E689" s="202">
        <v>78210</v>
      </c>
    </row>
    <row r="690" spans="1:5" ht="16.5" x14ac:dyDescent="0.3">
      <c r="A690" s="200">
        <v>30</v>
      </c>
      <c r="B690" s="201" t="s">
        <v>904</v>
      </c>
      <c r="C690" s="201" t="s">
        <v>239</v>
      </c>
      <c r="D690" s="201" t="s">
        <v>46</v>
      </c>
      <c r="E690" s="202">
        <v>4068900</v>
      </c>
    </row>
    <row r="691" spans="1:5" ht="16.5" x14ac:dyDescent="0.3">
      <c r="A691" s="200">
        <v>31</v>
      </c>
      <c r="B691" s="201" t="s">
        <v>905</v>
      </c>
      <c r="C691" s="201" t="s">
        <v>239</v>
      </c>
      <c r="D691" s="201" t="s">
        <v>46</v>
      </c>
      <c r="E691" s="202">
        <v>1872000</v>
      </c>
    </row>
    <row r="692" spans="1:5" ht="16.5" x14ac:dyDescent="0.3">
      <c r="A692" s="200">
        <v>32</v>
      </c>
      <c r="B692" s="201" t="s">
        <v>906</v>
      </c>
      <c r="C692" s="201" t="s">
        <v>239</v>
      </c>
      <c r="D692" s="201" t="s">
        <v>269</v>
      </c>
      <c r="E692" s="202">
        <v>136949.4</v>
      </c>
    </row>
    <row r="693" spans="1:5" ht="16.5" x14ac:dyDescent="0.3">
      <c r="A693" s="200">
        <v>33</v>
      </c>
      <c r="B693" s="201" t="s">
        <v>907</v>
      </c>
      <c r="C693" s="201" t="s">
        <v>239</v>
      </c>
      <c r="D693" s="201" t="s">
        <v>269</v>
      </c>
      <c r="E693" s="202">
        <v>193050</v>
      </c>
    </row>
    <row r="694" spans="1:5" ht="16.5" x14ac:dyDescent="0.3">
      <c r="A694" s="200">
        <v>34</v>
      </c>
      <c r="B694" s="201" t="s">
        <v>908</v>
      </c>
      <c r="C694" s="201" t="s">
        <v>239</v>
      </c>
      <c r="D694" s="201" t="s">
        <v>269</v>
      </c>
      <c r="E694" s="202">
        <v>259875</v>
      </c>
    </row>
    <row r="695" spans="1:5" ht="16.5" x14ac:dyDescent="0.3">
      <c r="A695" s="200">
        <v>35</v>
      </c>
      <c r="B695" s="201" t="s">
        <v>909</v>
      </c>
      <c r="C695" s="201" t="s">
        <v>239</v>
      </c>
      <c r="D695" s="201" t="s">
        <v>269</v>
      </c>
      <c r="E695" s="202">
        <v>430650</v>
      </c>
    </row>
    <row r="696" spans="1:5" ht="16.5" x14ac:dyDescent="0.3">
      <c r="A696" s="200">
        <v>36</v>
      </c>
      <c r="B696" s="201" t="s">
        <v>910</v>
      </c>
      <c r="C696" s="201" t="s">
        <v>239</v>
      </c>
      <c r="D696" s="201" t="s">
        <v>269</v>
      </c>
      <c r="E696" s="202">
        <v>2549250</v>
      </c>
    </row>
    <row r="697" spans="1:5" ht="16.5" x14ac:dyDescent="0.3">
      <c r="A697" s="200">
        <v>37</v>
      </c>
      <c r="B697" s="201" t="s">
        <v>911</v>
      </c>
      <c r="C697" s="201" t="s">
        <v>239</v>
      </c>
      <c r="D697" s="201" t="s">
        <v>269</v>
      </c>
      <c r="E697" s="202">
        <v>43560</v>
      </c>
    </row>
    <row r="698" spans="1:5" ht="16.5" x14ac:dyDescent="0.3">
      <c r="A698" s="200">
        <v>38</v>
      </c>
      <c r="B698" s="201" t="s">
        <v>912</v>
      </c>
      <c r="C698" s="201" t="s">
        <v>239</v>
      </c>
      <c r="D698" s="201" t="s">
        <v>269</v>
      </c>
      <c r="E698" s="202">
        <v>130680</v>
      </c>
    </row>
    <row r="699" spans="1:5" ht="16.5" x14ac:dyDescent="0.3">
      <c r="A699" s="200">
        <v>39</v>
      </c>
      <c r="B699" s="201" t="s">
        <v>913</v>
      </c>
      <c r="C699" s="201" t="s">
        <v>239</v>
      </c>
      <c r="D699" s="201" t="s">
        <v>269</v>
      </c>
      <c r="E699" s="202">
        <v>337837.5</v>
      </c>
    </row>
    <row r="700" spans="1:5" ht="16.5" x14ac:dyDescent="0.3">
      <c r="A700" s="200">
        <v>40</v>
      </c>
      <c r="B700" s="201" t="s">
        <v>914</v>
      </c>
      <c r="C700" s="201" t="s">
        <v>239</v>
      </c>
      <c r="D700" s="201" t="s">
        <v>269</v>
      </c>
      <c r="E700" s="202">
        <v>249149.7</v>
      </c>
    </row>
    <row r="701" spans="1:5" ht="16.5" x14ac:dyDescent="0.3">
      <c r="A701" s="200">
        <v>41</v>
      </c>
      <c r="B701" s="201" t="s">
        <v>915</v>
      </c>
      <c r="C701" s="201" t="s">
        <v>239</v>
      </c>
      <c r="D701" s="201" t="s">
        <v>269</v>
      </c>
      <c r="E701" s="202">
        <v>470250</v>
      </c>
    </row>
    <row r="702" spans="1:5" ht="16.5" x14ac:dyDescent="0.3">
      <c r="A702" s="200">
        <v>42</v>
      </c>
      <c r="B702" s="201" t="s">
        <v>916</v>
      </c>
      <c r="C702" s="201" t="s">
        <v>239</v>
      </c>
      <c r="D702" s="201" t="s">
        <v>269</v>
      </c>
      <c r="E702" s="202">
        <v>636075</v>
      </c>
    </row>
    <row r="703" spans="1:5" ht="16.5" x14ac:dyDescent="0.3">
      <c r="A703" s="200">
        <v>43</v>
      </c>
      <c r="B703" s="201" t="s">
        <v>917</v>
      </c>
      <c r="C703" s="201" t="s">
        <v>239</v>
      </c>
      <c r="D703" s="201" t="s">
        <v>269</v>
      </c>
      <c r="E703" s="202">
        <v>42734.700000000004</v>
      </c>
    </row>
    <row r="704" spans="1:5" ht="16.5" x14ac:dyDescent="0.3">
      <c r="A704" s="200">
        <v>44</v>
      </c>
      <c r="B704" s="201" t="s">
        <v>918</v>
      </c>
      <c r="C704" s="201" t="s">
        <v>239</v>
      </c>
      <c r="D704" s="201" t="s">
        <v>269</v>
      </c>
      <c r="E704" s="202">
        <v>43065</v>
      </c>
    </row>
    <row r="705" spans="1:5" ht="16.5" x14ac:dyDescent="0.3">
      <c r="A705" s="200">
        <v>45</v>
      </c>
      <c r="B705" s="201" t="s">
        <v>919</v>
      </c>
      <c r="C705" s="201" t="s">
        <v>239</v>
      </c>
      <c r="D705" s="201" t="s">
        <v>269</v>
      </c>
      <c r="E705" s="202">
        <v>49623.3</v>
      </c>
    </row>
    <row r="706" spans="1:5" ht="16.5" x14ac:dyDescent="0.3">
      <c r="A706" s="200">
        <v>46</v>
      </c>
      <c r="B706" s="201" t="s">
        <v>920</v>
      </c>
      <c r="C706" s="201" t="s">
        <v>239</v>
      </c>
      <c r="D706" s="201" t="s">
        <v>269</v>
      </c>
      <c r="E706" s="202">
        <v>54945</v>
      </c>
    </row>
    <row r="707" spans="1:5" ht="16.5" x14ac:dyDescent="0.3">
      <c r="A707" s="200">
        <v>47</v>
      </c>
      <c r="B707" s="201" t="s">
        <v>921</v>
      </c>
      <c r="C707" s="201" t="s">
        <v>239</v>
      </c>
      <c r="D707" s="201" t="s">
        <v>269</v>
      </c>
      <c r="E707" s="202">
        <v>61503.3</v>
      </c>
    </row>
    <row r="708" spans="1:5" ht="16.5" x14ac:dyDescent="0.3">
      <c r="A708" s="200">
        <v>48</v>
      </c>
      <c r="B708" s="201" t="s">
        <v>922</v>
      </c>
      <c r="C708" s="201" t="s">
        <v>239</v>
      </c>
      <c r="D708" s="201" t="s">
        <v>269</v>
      </c>
      <c r="E708" s="202">
        <v>63112.5</v>
      </c>
    </row>
    <row r="709" spans="1:5" ht="16.5" x14ac:dyDescent="0.3">
      <c r="A709" s="200">
        <v>49</v>
      </c>
      <c r="B709" s="201" t="s">
        <v>923</v>
      </c>
      <c r="C709" s="201" t="s">
        <v>239</v>
      </c>
      <c r="D709" s="201" t="s">
        <v>269</v>
      </c>
      <c r="E709" s="202">
        <v>59770.8</v>
      </c>
    </row>
    <row r="710" spans="1:5" ht="16.5" x14ac:dyDescent="0.3">
      <c r="A710" s="200">
        <v>50</v>
      </c>
      <c r="B710" s="201" t="s">
        <v>924</v>
      </c>
      <c r="C710" s="201" t="s">
        <v>239</v>
      </c>
      <c r="D710" s="201" t="s">
        <v>269</v>
      </c>
      <c r="E710" s="202">
        <v>69300</v>
      </c>
    </row>
    <row r="711" spans="1:5" ht="16.5" x14ac:dyDescent="0.3">
      <c r="A711" s="200">
        <v>51</v>
      </c>
      <c r="B711" s="201" t="s">
        <v>925</v>
      </c>
      <c r="C711" s="201" t="s">
        <v>239</v>
      </c>
      <c r="D711" s="201" t="s">
        <v>269</v>
      </c>
      <c r="E711" s="202">
        <v>27472.5</v>
      </c>
    </row>
    <row r="712" spans="1:5" ht="16.5" x14ac:dyDescent="0.3">
      <c r="A712" s="200">
        <v>52</v>
      </c>
      <c r="B712" s="201" t="s">
        <v>926</v>
      </c>
      <c r="C712" s="201" t="s">
        <v>239</v>
      </c>
      <c r="D712" s="201" t="s">
        <v>269</v>
      </c>
      <c r="E712" s="202">
        <v>21780</v>
      </c>
    </row>
    <row r="713" spans="1:5" ht="16.5" x14ac:dyDescent="0.3">
      <c r="A713" s="200">
        <v>53</v>
      </c>
      <c r="B713" s="201" t="s">
        <v>927</v>
      </c>
      <c r="C713" s="201" t="s">
        <v>239</v>
      </c>
      <c r="D713" s="201" t="s">
        <v>269</v>
      </c>
      <c r="E713" s="202">
        <v>63855</v>
      </c>
    </row>
    <row r="714" spans="1:5" ht="16.5" x14ac:dyDescent="0.3">
      <c r="A714" s="200">
        <v>54</v>
      </c>
      <c r="B714" s="201" t="s">
        <v>928</v>
      </c>
      <c r="C714" s="201" t="s">
        <v>239</v>
      </c>
      <c r="D714" s="201" t="s">
        <v>269</v>
      </c>
      <c r="E714" s="202">
        <v>118800</v>
      </c>
    </row>
    <row r="715" spans="1:5" ht="16.5" x14ac:dyDescent="0.3">
      <c r="A715" s="200">
        <v>55</v>
      </c>
      <c r="B715" s="201" t="s">
        <v>929</v>
      </c>
      <c r="C715" s="201" t="s">
        <v>239</v>
      </c>
      <c r="D715" s="201" t="s">
        <v>269</v>
      </c>
      <c r="E715" s="202">
        <v>72765</v>
      </c>
    </row>
    <row r="716" spans="1:5" ht="16.5" x14ac:dyDescent="0.3">
      <c r="A716" s="200">
        <v>56</v>
      </c>
      <c r="B716" s="201" t="s">
        <v>930</v>
      </c>
      <c r="C716" s="201" t="s">
        <v>239</v>
      </c>
      <c r="D716" s="201" t="s">
        <v>269</v>
      </c>
      <c r="E716" s="202">
        <v>93719.7</v>
      </c>
    </row>
    <row r="717" spans="1:5" ht="16.5" x14ac:dyDescent="0.3">
      <c r="A717" s="200">
        <v>57</v>
      </c>
      <c r="B717" s="201" t="s">
        <v>931</v>
      </c>
      <c r="C717" s="201" t="s">
        <v>239</v>
      </c>
      <c r="D717" s="201" t="s">
        <v>269</v>
      </c>
      <c r="E717" s="202">
        <v>61709.4</v>
      </c>
    </row>
    <row r="718" spans="1:5" ht="16.5" x14ac:dyDescent="0.3">
      <c r="A718" s="200">
        <v>58</v>
      </c>
      <c r="B718" s="201" t="s">
        <v>932</v>
      </c>
      <c r="C718" s="201" t="s">
        <v>239</v>
      </c>
      <c r="D718" s="201" t="s">
        <v>269</v>
      </c>
      <c r="E718" s="202">
        <v>68310</v>
      </c>
    </row>
    <row r="719" spans="1:5" ht="16.5" x14ac:dyDescent="0.3">
      <c r="A719" s="200">
        <v>59</v>
      </c>
      <c r="B719" s="201" t="s">
        <v>933</v>
      </c>
      <c r="C719" s="201" t="s">
        <v>239</v>
      </c>
      <c r="D719" s="201" t="s">
        <v>269</v>
      </c>
      <c r="E719" s="202">
        <v>64350</v>
      </c>
    </row>
    <row r="720" spans="1:5" ht="16.5" x14ac:dyDescent="0.3">
      <c r="A720" s="200">
        <v>60</v>
      </c>
      <c r="B720" s="201" t="s">
        <v>934</v>
      </c>
      <c r="C720" s="201" t="s">
        <v>239</v>
      </c>
      <c r="D720" s="201" t="s">
        <v>269</v>
      </c>
      <c r="E720" s="202">
        <v>65009.700000000004</v>
      </c>
    </row>
    <row r="721" spans="1:5" ht="16.5" x14ac:dyDescent="0.3">
      <c r="A721" s="200">
        <v>61</v>
      </c>
      <c r="B721" s="201" t="s">
        <v>935</v>
      </c>
      <c r="C721" s="201" t="s">
        <v>239</v>
      </c>
      <c r="D721" s="201" t="s">
        <v>269</v>
      </c>
      <c r="E721" s="202">
        <v>59746.5</v>
      </c>
    </row>
    <row r="722" spans="1:5" ht="16.5" x14ac:dyDescent="0.3">
      <c r="A722" s="200">
        <v>62</v>
      </c>
      <c r="B722" s="201" t="s">
        <v>936</v>
      </c>
      <c r="C722" s="201" t="s">
        <v>239</v>
      </c>
      <c r="D722" s="201" t="s">
        <v>269</v>
      </c>
      <c r="E722" s="202">
        <v>324225</v>
      </c>
    </row>
    <row r="723" spans="1:5" ht="16.5" x14ac:dyDescent="0.3">
      <c r="A723" s="200">
        <v>63</v>
      </c>
      <c r="B723" s="201" t="s">
        <v>937</v>
      </c>
      <c r="C723" s="201" t="s">
        <v>239</v>
      </c>
      <c r="D723" s="201" t="s">
        <v>269</v>
      </c>
      <c r="E723" s="202">
        <v>392287.5</v>
      </c>
    </row>
    <row r="724" spans="1:5" ht="16.5" x14ac:dyDescent="0.3">
      <c r="A724" s="200">
        <v>64</v>
      </c>
      <c r="B724" s="201" t="s">
        <v>938</v>
      </c>
      <c r="C724" s="201" t="s">
        <v>239</v>
      </c>
      <c r="D724" s="201" t="s">
        <v>269</v>
      </c>
      <c r="E724" s="202">
        <v>735075</v>
      </c>
    </row>
    <row r="725" spans="1:5" ht="16.5" x14ac:dyDescent="0.3">
      <c r="A725" s="200">
        <v>65</v>
      </c>
      <c r="B725" s="201" t="s">
        <v>939</v>
      </c>
      <c r="C725" s="201" t="s">
        <v>239</v>
      </c>
      <c r="D725" s="201" t="s">
        <v>269</v>
      </c>
      <c r="E725" s="202">
        <v>9000</v>
      </c>
    </row>
    <row r="726" spans="1:5" ht="16.5" x14ac:dyDescent="0.3">
      <c r="A726" s="200">
        <v>66</v>
      </c>
      <c r="B726" s="201" t="s">
        <v>940</v>
      </c>
      <c r="C726" s="201" t="s">
        <v>239</v>
      </c>
      <c r="D726" s="201" t="s">
        <v>269</v>
      </c>
      <c r="E726" s="202">
        <v>33824.700000000004</v>
      </c>
    </row>
    <row r="727" spans="1:5" ht="16.5" x14ac:dyDescent="0.3">
      <c r="A727" s="200">
        <v>67</v>
      </c>
      <c r="B727" s="201" t="s">
        <v>941</v>
      </c>
      <c r="C727" s="201" t="s">
        <v>239</v>
      </c>
      <c r="D727" s="201" t="s">
        <v>269</v>
      </c>
      <c r="E727" s="202">
        <v>34650</v>
      </c>
    </row>
    <row r="728" spans="1:5" ht="16.5" x14ac:dyDescent="0.3">
      <c r="A728" s="200">
        <v>68</v>
      </c>
      <c r="B728" s="201" t="s">
        <v>942</v>
      </c>
      <c r="C728" s="201" t="s">
        <v>239</v>
      </c>
      <c r="D728" s="201" t="s">
        <v>269</v>
      </c>
      <c r="E728" s="202">
        <v>54450</v>
      </c>
    </row>
    <row r="729" spans="1:5" ht="16.5" x14ac:dyDescent="0.3">
      <c r="A729" s="200">
        <v>69</v>
      </c>
      <c r="B729" s="201" t="s">
        <v>943</v>
      </c>
      <c r="C729" s="201" t="s">
        <v>239</v>
      </c>
      <c r="D729" s="201" t="s">
        <v>269</v>
      </c>
      <c r="E729" s="202">
        <v>73260</v>
      </c>
    </row>
    <row r="730" spans="1:5" ht="16.5" x14ac:dyDescent="0.3">
      <c r="A730" s="200">
        <v>70</v>
      </c>
      <c r="B730" s="201" t="s">
        <v>944</v>
      </c>
      <c r="C730" s="201" t="s">
        <v>239</v>
      </c>
      <c r="D730" s="201" t="s">
        <v>269</v>
      </c>
      <c r="E730" s="202">
        <v>165989.70000000001</v>
      </c>
    </row>
    <row r="731" spans="1:5" ht="16.5" x14ac:dyDescent="0.3">
      <c r="A731" s="200">
        <v>71</v>
      </c>
      <c r="B731" s="201" t="s">
        <v>945</v>
      </c>
      <c r="C731" s="201" t="s">
        <v>239</v>
      </c>
      <c r="D731" s="201" t="s">
        <v>269</v>
      </c>
      <c r="E731" s="202">
        <v>274064.40000000002</v>
      </c>
    </row>
    <row r="732" spans="1:5" ht="16.5" x14ac:dyDescent="0.3">
      <c r="A732" s="200">
        <v>72</v>
      </c>
      <c r="B732" s="201" t="s">
        <v>946</v>
      </c>
      <c r="C732" s="201" t="s">
        <v>239</v>
      </c>
      <c r="D732" s="201" t="s">
        <v>269</v>
      </c>
      <c r="E732" s="202">
        <v>324637.2</v>
      </c>
    </row>
    <row r="733" spans="1:5" ht="16.5" x14ac:dyDescent="0.3">
      <c r="A733" s="200">
        <v>73</v>
      </c>
      <c r="B733" s="201" t="s">
        <v>947</v>
      </c>
      <c r="C733" s="201" t="s">
        <v>239</v>
      </c>
      <c r="D733" s="201" t="s">
        <v>269</v>
      </c>
      <c r="E733" s="202">
        <v>577499.4</v>
      </c>
    </row>
    <row r="734" spans="1:5" ht="16.5" x14ac:dyDescent="0.3">
      <c r="A734" s="200">
        <v>74</v>
      </c>
      <c r="B734" s="201" t="s">
        <v>948</v>
      </c>
      <c r="C734" s="201" t="s">
        <v>239</v>
      </c>
      <c r="D734" s="201" t="s">
        <v>368</v>
      </c>
      <c r="E734" s="202">
        <v>6104.7</v>
      </c>
    </row>
    <row r="735" spans="1:5" ht="16.5" x14ac:dyDescent="0.3">
      <c r="A735" s="200">
        <v>75</v>
      </c>
      <c r="B735" s="201" t="s">
        <v>949</v>
      </c>
      <c r="C735" s="201" t="s">
        <v>239</v>
      </c>
      <c r="D735" s="201" t="s">
        <v>980</v>
      </c>
      <c r="E735" s="202">
        <v>328000</v>
      </c>
    </row>
    <row r="736" spans="1:5" ht="16.5" x14ac:dyDescent="0.3">
      <c r="A736" s="200">
        <v>76</v>
      </c>
      <c r="B736" s="201" t="s">
        <v>950</v>
      </c>
      <c r="C736" s="201" t="s">
        <v>239</v>
      </c>
      <c r="D736" s="201" t="s">
        <v>368</v>
      </c>
      <c r="E736" s="202">
        <v>14478.300000000001</v>
      </c>
    </row>
    <row r="737" spans="1:5" ht="16.5" x14ac:dyDescent="0.3">
      <c r="A737" s="200">
        <v>77</v>
      </c>
      <c r="B737" s="201" t="s">
        <v>951</v>
      </c>
      <c r="C737" s="201" t="s">
        <v>239</v>
      </c>
      <c r="D737" s="201" t="s">
        <v>368</v>
      </c>
      <c r="E737" s="202">
        <v>9356.4</v>
      </c>
    </row>
    <row r="738" spans="1:5" ht="16.5" x14ac:dyDescent="0.3">
      <c r="A738" s="200">
        <v>78</v>
      </c>
      <c r="B738" s="201" t="s">
        <v>952</v>
      </c>
      <c r="C738" s="201" t="s">
        <v>239</v>
      </c>
      <c r="D738" s="201" t="s">
        <v>368</v>
      </c>
      <c r="E738" s="202">
        <v>10724.4</v>
      </c>
    </row>
    <row r="739" spans="1:5" ht="16.5" x14ac:dyDescent="0.3">
      <c r="A739" s="200">
        <v>79</v>
      </c>
      <c r="B739" s="201" t="s">
        <v>953</v>
      </c>
      <c r="C739" s="201" t="s">
        <v>239</v>
      </c>
      <c r="D739" s="201" t="s">
        <v>368</v>
      </c>
      <c r="E739" s="202">
        <v>17325</v>
      </c>
    </row>
    <row r="740" spans="1:5" ht="16.5" x14ac:dyDescent="0.3">
      <c r="A740" s="200">
        <v>80</v>
      </c>
      <c r="B740" s="201" t="s">
        <v>954</v>
      </c>
      <c r="C740" s="201" t="s">
        <v>239</v>
      </c>
      <c r="D740" s="201" t="s">
        <v>368</v>
      </c>
      <c r="E740" s="202">
        <v>33363</v>
      </c>
    </row>
    <row r="741" spans="1:5" ht="16.5" x14ac:dyDescent="0.3">
      <c r="A741" s="200">
        <v>81</v>
      </c>
      <c r="B741" s="201" t="s">
        <v>955</v>
      </c>
      <c r="C741" s="201" t="s">
        <v>239</v>
      </c>
      <c r="D741" s="201" t="s">
        <v>368</v>
      </c>
      <c r="E741" s="202">
        <v>43930.8</v>
      </c>
    </row>
    <row r="742" spans="1:5" ht="16.5" x14ac:dyDescent="0.3">
      <c r="A742" s="200">
        <v>82</v>
      </c>
      <c r="B742" s="201" t="s">
        <v>956</v>
      </c>
      <c r="C742" s="201" t="s">
        <v>239</v>
      </c>
      <c r="D742" s="201" t="s">
        <v>368</v>
      </c>
      <c r="E742" s="202">
        <v>11900.7</v>
      </c>
    </row>
    <row r="743" spans="1:5" ht="16.5" x14ac:dyDescent="0.3">
      <c r="A743" s="200">
        <v>83</v>
      </c>
      <c r="B743" s="201" t="s">
        <v>957</v>
      </c>
      <c r="C743" s="201" t="s">
        <v>239</v>
      </c>
      <c r="D743" s="201" t="s">
        <v>368</v>
      </c>
      <c r="E743" s="202">
        <v>16582.5</v>
      </c>
    </row>
    <row r="744" spans="1:5" ht="16.5" x14ac:dyDescent="0.3">
      <c r="A744" s="200">
        <v>84</v>
      </c>
      <c r="B744" s="201" t="s">
        <v>958</v>
      </c>
      <c r="C744" s="201" t="s">
        <v>239</v>
      </c>
      <c r="D744" s="201" t="s">
        <v>368</v>
      </c>
      <c r="E744" s="202">
        <v>22027.5</v>
      </c>
    </row>
    <row r="745" spans="1:5" ht="16.5" x14ac:dyDescent="0.3">
      <c r="A745" s="200">
        <v>85</v>
      </c>
      <c r="B745" s="201" t="s">
        <v>959</v>
      </c>
      <c r="C745" s="201" t="s">
        <v>239</v>
      </c>
      <c r="D745" s="201" t="s">
        <v>368</v>
      </c>
      <c r="E745" s="202">
        <v>31074.3</v>
      </c>
    </row>
    <row r="746" spans="1:5" ht="16.5" x14ac:dyDescent="0.3">
      <c r="A746" s="200">
        <v>86</v>
      </c>
      <c r="B746" s="201" t="s">
        <v>960</v>
      </c>
      <c r="C746" s="201" t="s">
        <v>239</v>
      </c>
      <c r="D746" s="201" t="s">
        <v>368</v>
      </c>
      <c r="E746" s="202">
        <v>47106.9</v>
      </c>
    </row>
    <row r="747" spans="1:5" ht="16.5" x14ac:dyDescent="0.3">
      <c r="A747" s="200">
        <v>87</v>
      </c>
      <c r="B747" s="201" t="s">
        <v>961</v>
      </c>
      <c r="C747" s="201" t="s">
        <v>239</v>
      </c>
      <c r="D747" s="201" t="s">
        <v>368</v>
      </c>
      <c r="E747" s="202">
        <v>27884.7</v>
      </c>
    </row>
    <row r="748" spans="1:5" ht="16.5" x14ac:dyDescent="0.3">
      <c r="A748" s="200">
        <v>88</v>
      </c>
      <c r="B748" s="201" t="s">
        <v>962</v>
      </c>
      <c r="C748" s="201" t="s">
        <v>239</v>
      </c>
      <c r="D748" s="201" t="s">
        <v>368</v>
      </c>
      <c r="E748" s="202">
        <v>37710</v>
      </c>
    </row>
    <row r="749" spans="1:5" ht="16.5" x14ac:dyDescent="0.3">
      <c r="A749" s="200">
        <v>89</v>
      </c>
      <c r="B749" s="201" t="s">
        <v>963</v>
      </c>
      <c r="C749" s="201" t="s">
        <v>239</v>
      </c>
      <c r="D749" s="201" t="s">
        <v>368</v>
      </c>
      <c r="E749" s="202">
        <v>61049.700000000004</v>
      </c>
    </row>
    <row r="750" spans="1:5" ht="16.5" x14ac:dyDescent="0.3">
      <c r="A750" s="200">
        <v>90</v>
      </c>
      <c r="B750" s="201" t="s">
        <v>964</v>
      </c>
      <c r="C750" s="201" t="s">
        <v>239</v>
      </c>
      <c r="D750" s="201" t="s">
        <v>368</v>
      </c>
      <c r="E750" s="202">
        <v>5122.8</v>
      </c>
    </row>
    <row r="751" spans="1:5" ht="16.5" x14ac:dyDescent="0.3">
      <c r="A751" s="200">
        <v>91</v>
      </c>
      <c r="B751" s="201" t="s">
        <v>965</v>
      </c>
      <c r="C751" s="201" t="s">
        <v>239</v>
      </c>
      <c r="D751" s="201" t="s">
        <v>368</v>
      </c>
      <c r="E751" s="202">
        <v>15750</v>
      </c>
    </row>
    <row r="752" spans="1:5" ht="16.5" x14ac:dyDescent="0.3">
      <c r="A752" s="200">
        <v>92</v>
      </c>
      <c r="B752" s="201" t="s">
        <v>966</v>
      </c>
      <c r="C752" s="201" t="s">
        <v>239</v>
      </c>
      <c r="D752" s="201" t="s">
        <v>368</v>
      </c>
      <c r="E752" s="202">
        <v>8579.7000000000007</v>
      </c>
    </row>
    <row r="753" spans="1:5" ht="16.5" x14ac:dyDescent="0.3">
      <c r="A753" s="200">
        <v>93</v>
      </c>
      <c r="B753" s="201" t="s">
        <v>967</v>
      </c>
      <c r="C753" s="201" t="s">
        <v>239</v>
      </c>
      <c r="D753" s="201" t="s">
        <v>368</v>
      </c>
      <c r="E753" s="202">
        <v>13050</v>
      </c>
    </row>
    <row r="754" spans="1:5" ht="16.5" x14ac:dyDescent="0.3">
      <c r="A754" s="200">
        <v>94</v>
      </c>
      <c r="B754" s="201" t="s">
        <v>968</v>
      </c>
      <c r="C754" s="201" t="s">
        <v>239</v>
      </c>
      <c r="D754" s="201" t="s">
        <v>368</v>
      </c>
      <c r="E754" s="202">
        <v>32422.5</v>
      </c>
    </row>
    <row r="755" spans="1:5" ht="16.5" x14ac:dyDescent="0.3">
      <c r="A755" s="200">
        <v>95</v>
      </c>
      <c r="B755" s="201" t="s">
        <v>969</v>
      </c>
      <c r="C755" s="201" t="s">
        <v>239</v>
      </c>
      <c r="D755" s="201" t="s">
        <v>368</v>
      </c>
      <c r="E755" s="202">
        <v>2507.4</v>
      </c>
    </row>
    <row r="756" spans="1:5" ht="16.5" x14ac:dyDescent="0.3">
      <c r="A756" s="200">
        <v>96</v>
      </c>
      <c r="B756" s="201" t="s">
        <v>970</v>
      </c>
      <c r="C756" s="201" t="s">
        <v>239</v>
      </c>
      <c r="D756" s="201" t="s">
        <v>368</v>
      </c>
      <c r="E756" s="202">
        <v>3629.7000000000003</v>
      </c>
    </row>
    <row r="757" spans="1:5" ht="16.5" x14ac:dyDescent="0.3">
      <c r="A757" s="200">
        <v>97</v>
      </c>
      <c r="B757" s="201" t="s">
        <v>971</v>
      </c>
      <c r="C757" s="201" t="s">
        <v>972</v>
      </c>
      <c r="D757" s="201" t="s">
        <v>368</v>
      </c>
      <c r="E757" s="202">
        <v>13327.2</v>
      </c>
    </row>
    <row r="758" spans="1:5" ht="16.5" x14ac:dyDescent="0.3">
      <c r="A758" s="200">
        <v>98</v>
      </c>
      <c r="B758" s="201" t="s">
        <v>973</v>
      </c>
      <c r="C758" s="201" t="s">
        <v>239</v>
      </c>
      <c r="D758" s="201" t="s">
        <v>368</v>
      </c>
      <c r="E758" s="202">
        <v>19180.8</v>
      </c>
    </row>
    <row r="759" spans="1:5" ht="16.5" x14ac:dyDescent="0.3">
      <c r="A759" s="200">
        <v>99</v>
      </c>
      <c r="B759" s="201" t="s">
        <v>974</v>
      </c>
      <c r="C759" s="201" t="s">
        <v>239</v>
      </c>
      <c r="D759" s="201" t="s">
        <v>368</v>
      </c>
      <c r="E759" s="202">
        <v>5197.5</v>
      </c>
    </row>
    <row r="760" spans="1:5" ht="16.5" x14ac:dyDescent="0.3">
      <c r="A760" s="200">
        <v>100</v>
      </c>
      <c r="B760" s="201" t="s">
        <v>975</v>
      </c>
      <c r="C760" s="201" t="s">
        <v>239</v>
      </c>
      <c r="D760" s="201" t="s">
        <v>368</v>
      </c>
      <c r="E760" s="202">
        <v>7094.7</v>
      </c>
    </row>
    <row r="761" spans="1:5" ht="16.5" x14ac:dyDescent="0.3">
      <c r="A761" s="200">
        <v>101</v>
      </c>
      <c r="B761" s="201" t="s">
        <v>976</v>
      </c>
      <c r="C761" s="201" t="s">
        <v>239</v>
      </c>
      <c r="D761" s="201" t="s">
        <v>368</v>
      </c>
      <c r="E761" s="202">
        <v>15179.4</v>
      </c>
    </row>
    <row r="762" spans="1:5" ht="16.5" x14ac:dyDescent="0.3">
      <c r="A762" s="200">
        <v>102</v>
      </c>
      <c r="B762" s="201" t="s">
        <v>977</v>
      </c>
      <c r="C762" s="201" t="s">
        <v>239</v>
      </c>
      <c r="D762" s="201" t="s">
        <v>368</v>
      </c>
      <c r="E762" s="202">
        <v>87120</v>
      </c>
    </row>
    <row r="763" spans="1:5" ht="16.5" x14ac:dyDescent="0.3">
      <c r="A763" s="200">
        <v>103</v>
      </c>
      <c r="B763" s="201" t="s">
        <v>978</v>
      </c>
      <c r="C763" s="201" t="s">
        <v>239</v>
      </c>
      <c r="D763" s="201" t="s">
        <v>368</v>
      </c>
      <c r="E763" s="202">
        <v>97844.400000000009</v>
      </c>
    </row>
    <row r="764" spans="1:5" ht="16.5" x14ac:dyDescent="0.3">
      <c r="A764" s="200">
        <v>104</v>
      </c>
      <c r="B764" s="201" t="s">
        <v>979</v>
      </c>
      <c r="C764" s="201" t="s">
        <v>239</v>
      </c>
      <c r="D764" s="201" t="s">
        <v>980</v>
      </c>
      <c r="E764" s="202">
        <v>131917.5</v>
      </c>
    </row>
    <row r="765" spans="1:5" ht="16.5" x14ac:dyDescent="0.3">
      <c r="A765" s="200">
        <v>105</v>
      </c>
      <c r="B765" s="201" t="s">
        <v>981</v>
      </c>
      <c r="C765" s="201" t="s">
        <v>239</v>
      </c>
      <c r="D765" s="201" t="s">
        <v>269</v>
      </c>
      <c r="E765" s="202">
        <v>1316700</v>
      </c>
    </row>
    <row r="766" spans="1:5" ht="16.5" x14ac:dyDescent="0.3">
      <c r="A766" s="200">
        <v>106</v>
      </c>
      <c r="B766" s="201" t="s">
        <v>982</v>
      </c>
      <c r="C766" s="201" t="s">
        <v>239</v>
      </c>
      <c r="D766" s="201" t="s">
        <v>269</v>
      </c>
      <c r="E766" s="202">
        <v>1732500</v>
      </c>
    </row>
    <row r="767" spans="1:5" ht="16.5" x14ac:dyDescent="0.3">
      <c r="A767" s="200">
        <v>107</v>
      </c>
      <c r="B767" s="201" t="s">
        <v>983</v>
      </c>
      <c r="C767" s="201" t="s">
        <v>239</v>
      </c>
      <c r="D767" s="201" t="s">
        <v>269</v>
      </c>
      <c r="E767" s="202">
        <v>2153250</v>
      </c>
    </row>
    <row r="768" spans="1:5" ht="16.5" x14ac:dyDescent="0.3">
      <c r="A768" s="200">
        <v>108</v>
      </c>
      <c r="B768" s="201" t="s">
        <v>984</v>
      </c>
      <c r="C768" s="201" t="s">
        <v>239</v>
      </c>
      <c r="D768" s="201" t="s">
        <v>269</v>
      </c>
      <c r="E768" s="202">
        <v>4554</v>
      </c>
    </row>
    <row r="769" spans="1:5" ht="16.5" x14ac:dyDescent="0.3">
      <c r="A769" s="200">
        <v>109</v>
      </c>
      <c r="B769" s="201" t="s">
        <v>985</v>
      </c>
      <c r="C769" s="201" t="s">
        <v>239</v>
      </c>
      <c r="D769" s="201" t="s">
        <v>269</v>
      </c>
      <c r="E769" s="202">
        <v>14850</v>
      </c>
    </row>
    <row r="770" spans="1:5" ht="16.5" x14ac:dyDescent="0.3">
      <c r="A770" s="200">
        <v>110</v>
      </c>
      <c r="B770" s="201" t="s">
        <v>986</v>
      </c>
      <c r="C770" s="201" t="s">
        <v>239</v>
      </c>
      <c r="D770" s="201" t="s">
        <v>269</v>
      </c>
      <c r="E770" s="202">
        <v>24997.5</v>
      </c>
    </row>
    <row r="771" spans="1:5" ht="16.5" x14ac:dyDescent="0.3">
      <c r="A771" s="200">
        <v>111</v>
      </c>
      <c r="B771" s="201" t="s">
        <v>987</v>
      </c>
      <c r="C771" s="201"/>
      <c r="D771" s="201" t="s">
        <v>269</v>
      </c>
      <c r="E771" s="202">
        <v>167805</v>
      </c>
    </row>
    <row r="772" spans="1:5" ht="16.5" x14ac:dyDescent="0.3">
      <c r="A772" s="200">
        <v>112</v>
      </c>
      <c r="B772" s="201" t="s">
        <v>988</v>
      </c>
      <c r="C772" s="201"/>
      <c r="D772" s="201" t="s">
        <v>269</v>
      </c>
      <c r="E772" s="202">
        <v>309127.5</v>
      </c>
    </row>
    <row r="773" spans="1:5" ht="16.5" x14ac:dyDescent="0.3">
      <c r="A773" s="200">
        <v>113</v>
      </c>
      <c r="B773" s="201" t="s">
        <v>989</v>
      </c>
      <c r="C773" s="201"/>
      <c r="D773" s="201" t="s">
        <v>46</v>
      </c>
      <c r="E773" s="202">
        <v>546975</v>
      </c>
    </row>
    <row r="774" spans="1:5" ht="16.5" x14ac:dyDescent="0.3">
      <c r="A774" s="200">
        <v>114</v>
      </c>
      <c r="B774" s="201" t="s">
        <v>990</v>
      </c>
      <c r="C774" s="201"/>
      <c r="D774" s="201" t="s">
        <v>46</v>
      </c>
      <c r="E774" s="202">
        <v>843975</v>
      </c>
    </row>
    <row r="775" spans="1:5" ht="16.5" x14ac:dyDescent="0.3">
      <c r="A775" s="200">
        <v>115</v>
      </c>
      <c r="B775" s="201" t="s">
        <v>991</v>
      </c>
      <c r="C775" s="201"/>
      <c r="D775" s="201" t="s">
        <v>269</v>
      </c>
      <c r="E775" s="202">
        <v>40500</v>
      </c>
    </row>
    <row r="776" spans="1:5" ht="16.5" x14ac:dyDescent="0.3">
      <c r="A776" s="200">
        <v>116</v>
      </c>
      <c r="B776" s="201" t="s">
        <v>992</v>
      </c>
      <c r="C776" s="201"/>
      <c r="D776" s="201" t="s">
        <v>269</v>
      </c>
      <c r="E776" s="202">
        <v>43470</v>
      </c>
    </row>
    <row r="777" spans="1:5" ht="16.5" x14ac:dyDescent="0.3">
      <c r="A777" s="200">
        <v>117</v>
      </c>
      <c r="B777" s="201" t="s">
        <v>993</v>
      </c>
      <c r="C777" s="201"/>
      <c r="D777" s="201" t="s">
        <v>269</v>
      </c>
      <c r="E777" s="202">
        <v>751500</v>
      </c>
    </row>
    <row r="778" spans="1:5" ht="16.5" x14ac:dyDescent="0.3">
      <c r="A778" s="200">
        <v>118</v>
      </c>
      <c r="B778" s="201" t="s">
        <v>994</v>
      </c>
      <c r="C778" s="201"/>
      <c r="D778" s="201" t="s">
        <v>299</v>
      </c>
      <c r="E778" s="202">
        <v>236115</v>
      </c>
    </row>
    <row r="779" spans="1:5" ht="16.5" x14ac:dyDescent="0.3">
      <c r="A779" s="200">
        <v>119</v>
      </c>
      <c r="B779" s="201" t="s">
        <v>995</v>
      </c>
      <c r="C779" s="201" t="s">
        <v>239</v>
      </c>
      <c r="D779" s="201" t="s">
        <v>269</v>
      </c>
      <c r="E779" s="202">
        <v>13050</v>
      </c>
    </row>
    <row r="780" spans="1:5" ht="16.5" x14ac:dyDescent="0.3">
      <c r="A780" s="200">
        <v>120</v>
      </c>
      <c r="B780" s="201" t="s">
        <v>996</v>
      </c>
      <c r="C780" s="201" t="s">
        <v>239</v>
      </c>
      <c r="D780" s="201" t="s">
        <v>997</v>
      </c>
      <c r="E780" s="202">
        <v>12933</v>
      </c>
    </row>
    <row r="781" spans="1:5" ht="16.5" x14ac:dyDescent="0.3">
      <c r="A781" s="200">
        <v>121</v>
      </c>
      <c r="B781" s="201" t="s">
        <v>998</v>
      </c>
      <c r="C781" s="201" t="s">
        <v>239</v>
      </c>
      <c r="D781" s="201" t="s">
        <v>997</v>
      </c>
      <c r="E781" s="202">
        <v>26775</v>
      </c>
    </row>
    <row r="782" spans="1:5" ht="16.5" x14ac:dyDescent="0.3">
      <c r="A782" s="200">
        <v>122</v>
      </c>
      <c r="B782" s="201" t="s">
        <v>999</v>
      </c>
      <c r="C782" s="201" t="s">
        <v>239</v>
      </c>
      <c r="D782" s="201" t="s">
        <v>997</v>
      </c>
      <c r="E782" s="202">
        <v>40095</v>
      </c>
    </row>
    <row r="783" spans="1:5" ht="16.5" x14ac:dyDescent="0.3">
      <c r="A783" s="200">
        <v>123</v>
      </c>
      <c r="B783" s="201" t="s">
        <v>1000</v>
      </c>
      <c r="C783" s="201" t="s">
        <v>239</v>
      </c>
      <c r="D783" s="201" t="s">
        <v>269</v>
      </c>
      <c r="E783" s="202">
        <v>25875</v>
      </c>
    </row>
    <row r="784" spans="1:5" ht="16.5" x14ac:dyDescent="0.3">
      <c r="A784" s="200">
        <v>124</v>
      </c>
      <c r="B784" s="201" t="s">
        <v>1001</v>
      </c>
      <c r="C784" s="201" t="s">
        <v>239</v>
      </c>
      <c r="D784" s="201" t="s">
        <v>46</v>
      </c>
      <c r="E784" s="202">
        <v>115515</v>
      </c>
    </row>
    <row r="785" spans="1:5" ht="16.5" x14ac:dyDescent="0.3">
      <c r="A785" s="200">
        <v>125</v>
      </c>
      <c r="B785" s="201" t="s">
        <v>1002</v>
      </c>
      <c r="C785" s="201" t="s">
        <v>239</v>
      </c>
      <c r="D785" s="201" t="s">
        <v>269</v>
      </c>
      <c r="E785" s="202">
        <v>31050</v>
      </c>
    </row>
    <row r="786" spans="1:5" ht="16.5" x14ac:dyDescent="0.3">
      <c r="A786" s="200">
        <v>126</v>
      </c>
      <c r="B786" s="201" t="s">
        <v>1003</v>
      </c>
      <c r="C786" s="201" t="s">
        <v>239</v>
      </c>
      <c r="D786" s="201" t="s">
        <v>269</v>
      </c>
      <c r="E786" s="202">
        <v>52200</v>
      </c>
    </row>
    <row r="787" spans="1:5" ht="16.5" x14ac:dyDescent="0.3">
      <c r="A787" s="200">
        <v>127</v>
      </c>
      <c r="B787" s="201" t="s">
        <v>1004</v>
      </c>
      <c r="C787" s="201" t="s">
        <v>239</v>
      </c>
      <c r="D787" s="201" t="s">
        <v>269</v>
      </c>
      <c r="E787" s="202">
        <v>84645</v>
      </c>
    </row>
    <row r="788" spans="1:5" ht="16.5" x14ac:dyDescent="0.3">
      <c r="A788" s="200">
        <v>128</v>
      </c>
      <c r="B788" s="201" t="s">
        <v>1005</v>
      </c>
      <c r="C788" s="201" t="s">
        <v>239</v>
      </c>
      <c r="D788" s="201" t="s">
        <v>269</v>
      </c>
      <c r="E788" s="202">
        <v>322380</v>
      </c>
    </row>
    <row r="789" spans="1:5" ht="16.5" x14ac:dyDescent="0.3">
      <c r="A789" s="200">
        <v>129</v>
      </c>
      <c r="B789" s="201" t="s">
        <v>1006</v>
      </c>
      <c r="C789" s="201" t="s">
        <v>239</v>
      </c>
      <c r="D789" s="201" t="s">
        <v>269</v>
      </c>
      <c r="E789" s="202">
        <v>12150</v>
      </c>
    </row>
    <row r="790" spans="1:5" ht="16.5" x14ac:dyDescent="0.3">
      <c r="A790" s="200">
        <v>130</v>
      </c>
      <c r="B790" s="201" t="s">
        <v>1007</v>
      </c>
      <c r="C790" s="201" t="s">
        <v>239</v>
      </c>
      <c r="D790" s="201" t="s">
        <v>269</v>
      </c>
      <c r="E790" s="202">
        <v>69629.400000000009</v>
      </c>
    </row>
    <row r="791" spans="1:5" ht="16.5" x14ac:dyDescent="0.3">
      <c r="A791" s="200">
        <v>131</v>
      </c>
      <c r="B791" s="201" t="s">
        <v>1008</v>
      </c>
      <c r="C791" s="201" t="s">
        <v>239</v>
      </c>
      <c r="D791" s="201" t="s">
        <v>269</v>
      </c>
      <c r="E791" s="202">
        <v>24625.8</v>
      </c>
    </row>
    <row r="792" spans="1:5" ht="16.5" x14ac:dyDescent="0.3">
      <c r="A792" s="200">
        <v>132</v>
      </c>
      <c r="B792" s="201" t="s">
        <v>1009</v>
      </c>
      <c r="C792" s="201" t="s">
        <v>239</v>
      </c>
      <c r="D792" s="201" t="s">
        <v>269</v>
      </c>
      <c r="E792" s="202">
        <v>471735</v>
      </c>
    </row>
    <row r="793" spans="1:5" ht="16.5" x14ac:dyDescent="0.3">
      <c r="A793" s="200">
        <v>133</v>
      </c>
      <c r="B793" s="201" t="s">
        <v>1010</v>
      </c>
      <c r="C793" s="201" t="s">
        <v>239</v>
      </c>
      <c r="D793" s="201" t="s">
        <v>269</v>
      </c>
      <c r="E793" s="202">
        <v>394349.4</v>
      </c>
    </row>
    <row r="794" spans="1:5" ht="16.5" x14ac:dyDescent="0.3">
      <c r="A794" s="200">
        <v>134</v>
      </c>
      <c r="B794" s="201" t="s">
        <v>1011</v>
      </c>
      <c r="C794" s="201" t="s">
        <v>239</v>
      </c>
      <c r="D794" s="201" t="s">
        <v>269</v>
      </c>
      <c r="E794" s="202">
        <v>30937.5</v>
      </c>
    </row>
    <row r="795" spans="1:5" ht="16.5" x14ac:dyDescent="0.3">
      <c r="A795" s="200">
        <v>135</v>
      </c>
      <c r="B795" s="201" t="s">
        <v>1012</v>
      </c>
      <c r="C795" s="201" t="s">
        <v>239</v>
      </c>
      <c r="D795" s="201" t="s">
        <v>269</v>
      </c>
      <c r="E795" s="202">
        <v>32175</v>
      </c>
    </row>
    <row r="796" spans="1:5" ht="16.5" x14ac:dyDescent="0.3">
      <c r="A796" s="200">
        <v>136</v>
      </c>
      <c r="B796" s="201" t="s">
        <v>1013</v>
      </c>
      <c r="C796" s="201" t="s">
        <v>239</v>
      </c>
      <c r="D796" s="201" t="s">
        <v>269</v>
      </c>
      <c r="E796" s="202">
        <v>21532.5</v>
      </c>
    </row>
    <row r="797" spans="1:5" ht="16.5" x14ac:dyDescent="0.3">
      <c r="A797" s="200">
        <v>137</v>
      </c>
      <c r="B797" s="201" t="s">
        <v>1014</v>
      </c>
      <c r="C797" s="201" t="s">
        <v>239</v>
      </c>
      <c r="D797" s="201" t="s">
        <v>269</v>
      </c>
      <c r="E797" s="202">
        <v>990</v>
      </c>
    </row>
    <row r="798" spans="1:5" ht="16.5" x14ac:dyDescent="0.3">
      <c r="A798" s="200">
        <v>138</v>
      </c>
      <c r="B798" s="201" t="s">
        <v>1015</v>
      </c>
      <c r="C798" s="201" t="s">
        <v>239</v>
      </c>
      <c r="D798" s="201" t="s">
        <v>299</v>
      </c>
      <c r="E798" s="202">
        <v>12300.300000000001</v>
      </c>
    </row>
    <row r="799" spans="1:5" ht="16.5" x14ac:dyDescent="0.3">
      <c r="A799" s="200">
        <v>139</v>
      </c>
      <c r="B799" s="201" t="s">
        <v>1016</v>
      </c>
      <c r="C799" s="201" t="s">
        <v>239</v>
      </c>
      <c r="D799" s="201" t="s">
        <v>299</v>
      </c>
      <c r="E799" s="202">
        <v>12003.300000000001</v>
      </c>
    </row>
    <row r="800" spans="1:5" ht="16.5" x14ac:dyDescent="0.3">
      <c r="A800" s="200">
        <v>140</v>
      </c>
      <c r="B800" s="201" t="s">
        <v>1017</v>
      </c>
      <c r="C800" s="201" t="s">
        <v>239</v>
      </c>
      <c r="D800" s="201" t="s">
        <v>299</v>
      </c>
      <c r="E800" s="202">
        <v>2970</v>
      </c>
    </row>
    <row r="801" spans="1:5" ht="16.5" x14ac:dyDescent="0.3">
      <c r="A801" s="200">
        <v>141</v>
      </c>
      <c r="B801" s="201" t="s">
        <v>1018</v>
      </c>
      <c r="C801" s="201" t="s">
        <v>239</v>
      </c>
      <c r="D801" s="201" t="s">
        <v>269</v>
      </c>
      <c r="E801" s="202">
        <v>95040</v>
      </c>
    </row>
    <row r="802" spans="1:5" ht="16.5" x14ac:dyDescent="0.3">
      <c r="A802" s="200">
        <v>142</v>
      </c>
      <c r="B802" s="201" t="s">
        <v>1019</v>
      </c>
      <c r="C802" s="201" t="s">
        <v>239</v>
      </c>
      <c r="D802" s="201" t="s">
        <v>269</v>
      </c>
      <c r="E802" s="202">
        <v>10890</v>
      </c>
    </row>
    <row r="803" spans="1:5" ht="16.5" x14ac:dyDescent="0.3">
      <c r="A803" s="200">
        <v>143</v>
      </c>
      <c r="B803" s="201" t="s">
        <v>1020</v>
      </c>
      <c r="C803" s="201" t="s">
        <v>239</v>
      </c>
      <c r="D803" s="201" t="s">
        <v>269</v>
      </c>
      <c r="E803" s="202">
        <v>45540</v>
      </c>
    </row>
    <row r="804" spans="1:5" ht="16.5" x14ac:dyDescent="0.3">
      <c r="A804" s="200">
        <v>144</v>
      </c>
      <c r="B804" s="201" t="s">
        <v>1021</v>
      </c>
      <c r="C804" s="201" t="s">
        <v>239</v>
      </c>
      <c r="D804" s="201" t="s">
        <v>269</v>
      </c>
      <c r="E804" s="202">
        <v>25245</v>
      </c>
    </row>
    <row r="805" spans="1:5" ht="16.5" x14ac:dyDescent="0.3">
      <c r="A805" s="200">
        <v>145</v>
      </c>
      <c r="B805" s="201" t="s">
        <v>1022</v>
      </c>
      <c r="C805" s="201" t="s">
        <v>239</v>
      </c>
      <c r="D805" s="201" t="s">
        <v>368</v>
      </c>
      <c r="E805" s="202">
        <v>9652.5</v>
      </c>
    </row>
    <row r="806" spans="1:5" ht="16.5" x14ac:dyDescent="0.3">
      <c r="A806" s="200">
        <v>146</v>
      </c>
      <c r="B806" s="201" t="s">
        <v>1023</v>
      </c>
      <c r="C806" s="201" t="s">
        <v>239</v>
      </c>
      <c r="D806" s="201" t="s">
        <v>269</v>
      </c>
      <c r="E806" s="202">
        <v>856350</v>
      </c>
    </row>
    <row r="807" spans="1:5" ht="16.5" x14ac:dyDescent="0.3">
      <c r="A807" s="200">
        <v>147</v>
      </c>
      <c r="B807" s="201" t="s">
        <v>1024</v>
      </c>
      <c r="C807" s="201" t="s">
        <v>239</v>
      </c>
      <c r="D807" s="201" t="s">
        <v>269</v>
      </c>
      <c r="E807" s="202">
        <v>7425</v>
      </c>
    </row>
    <row r="808" spans="1:5" ht="16.5" x14ac:dyDescent="0.3">
      <c r="A808" s="200">
        <v>148</v>
      </c>
      <c r="B808" s="201" t="s">
        <v>1025</v>
      </c>
      <c r="C808" s="201" t="s">
        <v>239</v>
      </c>
      <c r="D808" s="201" t="s">
        <v>269</v>
      </c>
      <c r="E808" s="202">
        <v>201299.4</v>
      </c>
    </row>
    <row r="809" spans="1:5" ht="16.5" x14ac:dyDescent="0.3">
      <c r="A809" s="200">
        <v>149</v>
      </c>
      <c r="B809" s="201" t="s">
        <v>1026</v>
      </c>
      <c r="C809" s="201" t="s">
        <v>239</v>
      </c>
      <c r="D809" s="201" t="s">
        <v>269</v>
      </c>
      <c r="E809" s="202">
        <v>7672.5</v>
      </c>
    </row>
    <row r="810" spans="1:5" ht="16.5" x14ac:dyDescent="0.3">
      <c r="A810" s="200">
        <v>150</v>
      </c>
      <c r="B810" s="201" t="s">
        <v>1027</v>
      </c>
      <c r="C810" s="201" t="s">
        <v>239</v>
      </c>
      <c r="D810" s="201" t="s">
        <v>1028</v>
      </c>
      <c r="E810" s="202">
        <v>79200</v>
      </c>
    </row>
    <row r="811" spans="1:5" ht="16.5" x14ac:dyDescent="0.3">
      <c r="A811" s="200">
        <v>151</v>
      </c>
      <c r="B811" s="201" t="s">
        <v>1029</v>
      </c>
      <c r="C811" s="201" t="s">
        <v>239</v>
      </c>
      <c r="D811" s="201" t="s">
        <v>269</v>
      </c>
      <c r="E811" s="202">
        <v>57172.5</v>
      </c>
    </row>
    <row r="812" spans="1:5" ht="16.5" x14ac:dyDescent="0.3">
      <c r="A812" s="200">
        <v>152</v>
      </c>
      <c r="B812" s="201" t="s">
        <v>1030</v>
      </c>
      <c r="C812" s="201" t="s">
        <v>239</v>
      </c>
      <c r="D812" s="201" t="s">
        <v>269</v>
      </c>
      <c r="E812" s="202">
        <v>25987.5</v>
      </c>
    </row>
    <row r="813" spans="1:5" ht="16.5" x14ac:dyDescent="0.3">
      <c r="A813" s="200">
        <v>153</v>
      </c>
      <c r="B813" s="201" t="s">
        <v>1031</v>
      </c>
      <c r="C813" s="201" t="s">
        <v>239</v>
      </c>
      <c r="D813" s="201" t="s">
        <v>269</v>
      </c>
      <c r="E813" s="202">
        <v>30070.799999999999</v>
      </c>
    </row>
    <row r="814" spans="1:5" ht="16.5" x14ac:dyDescent="0.3">
      <c r="A814" s="200">
        <v>154</v>
      </c>
      <c r="B814" s="201" t="s">
        <v>1032</v>
      </c>
      <c r="C814" s="201" t="s">
        <v>239</v>
      </c>
      <c r="D814" s="201" t="s">
        <v>46</v>
      </c>
      <c r="E814" s="202">
        <v>99000</v>
      </c>
    </row>
    <row r="815" spans="1:5" ht="16.5" x14ac:dyDescent="0.3">
      <c r="A815" s="200">
        <v>155</v>
      </c>
      <c r="B815" s="201" t="s">
        <v>1033</v>
      </c>
      <c r="C815" s="201" t="s">
        <v>239</v>
      </c>
      <c r="D815" s="201" t="s">
        <v>269</v>
      </c>
      <c r="E815" s="202">
        <v>153450</v>
      </c>
    </row>
    <row r="816" spans="1:5" ht="16.5" x14ac:dyDescent="0.3">
      <c r="A816" s="200">
        <v>156</v>
      </c>
      <c r="B816" s="201" t="s">
        <v>1034</v>
      </c>
      <c r="C816" s="201" t="s">
        <v>239</v>
      </c>
      <c r="D816" s="201" t="s">
        <v>46</v>
      </c>
      <c r="E816" s="202">
        <v>86625</v>
      </c>
    </row>
    <row r="817" spans="1:5" ht="16.5" x14ac:dyDescent="0.3">
      <c r="A817" s="200">
        <v>157</v>
      </c>
      <c r="B817" s="201" t="s">
        <v>1035</v>
      </c>
      <c r="C817" s="201" t="s">
        <v>239</v>
      </c>
      <c r="D817" s="201" t="s">
        <v>46</v>
      </c>
      <c r="E817" s="202">
        <v>18810</v>
      </c>
    </row>
    <row r="818" spans="1:5" ht="16.5" x14ac:dyDescent="0.3">
      <c r="A818" s="200">
        <v>158</v>
      </c>
      <c r="B818" s="201" t="s">
        <v>1036</v>
      </c>
      <c r="C818" s="201" t="s">
        <v>239</v>
      </c>
      <c r="D818" s="201" t="s">
        <v>1037</v>
      </c>
      <c r="E818" s="202">
        <v>123750</v>
      </c>
    </row>
    <row r="819" spans="1:5" ht="16.5" x14ac:dyDescent="0.3">
      <c r="A819" s="200">
        <v>159</v>
      </c>
      <c r="B819" s="201" t="s">
        <v>1038</v>
      </c>
      <c r="C819" s="201" t="s">
        <v>239</v>
      </c>
      <c r="D819" s="201" t="s">
        <v>1037</v>
      </c>
      <c r="E819" s="202">
        <v>7672.5</v>
      </c>
    </row>
    <row r="820" spans="1:5" ht="16.5" x14ac:dyDescent="0.3">
      <c r="A820" s="200">
        <v>160</v>
      </c>
      <c r="B820" s="201" t="s">
        <v>1039</v>
      </c>
      <c r="C820" s="201" t="s">
        <v>239</v>
      </c>
      <c r="D820" s="201" t="s">
        <v>1040</v>
      </c>
      <c r="E820" s="202">
        <v>7425</v>
      </c>
    </row>
    <row r="821" spans="1:5" ht="16.5" x14ac:dyDescent="0.3">
      <c r="A821" s="200">
        <v>161</v>
      </c>
      <c r="B821" s="201" t="s">
        <v>1041</v>
      </c>
      <c r="C821" s="201" t="s">
        <v>239</v>
      </c>
      <c r="D821" s="201" t="s">
        <v>1042</v>
      </c>
      <c r="E821" s="202">
        <v>27225</v>
      </c>
    </row>
    <row r="822" spans="1:5" ht="16.5" x14ac:dyDescent="0.3">
      <c r="A822" s="200">
        <v>162</v>
      </c>
      <c r="B822" s="201" t="s">
        <v>1043</v>
      </c>
      <c r="C822" s="201" t="s">
        <v>239</v>
      </c>
      <c r="D822" s="201" t="s">
        <v>1042</v>
      </c>
      <c r="E822" s="202">
        <v>44550</v>
      </c>
    </row>
    <row r="823" spans="1:5" ht="16.5" x14ac:dyDescent="0.3">
      <c r="A823" s="200">
        <v>163</v>
      </c>
      <c r="B823" s="201" t="s">
        <v>1044</v>
      </c>
      <c r="C823" s="201" t="s">
        <v>239</v>
      </c>
      <c r="D823" s="201" t="s">
        <v>46</v>
      </c>
      <c r="E823" s="202">
        <v>92565</v>
      </c>
    </row>
    <row r="824" spans="1:5" ht="16.5" x14ac:dyDescent="0.3">
      <c r="A824" s="200">
        <v>164</v>
      </c>
      <c r="B824" s="201" t="s">
        <v>1045</v>
      </c>
      <c r="C824" s="201" t="s">
        <v>239</v>
      </c>
      <c r="D824" s="201" t="s">
        <v>782</v>
      </c>
      <c r="E824" s="202">
        <v>84768.3</v>
      </c>
    </row>
    <row r="825" spans="1:5" ht="16.5" x14ac:dyDescent="0.3">
      <c r="A825" s="200">
        <v>165</v>
      </c>
      <c r="B825" s="201" t="s">
        <v>1046</v>
      </c>
      <c r="C825" s="201" t="s">
        <v>239</v>
      </c>
      <c r="D825" s="201" t="s">
        <v>269</v>
      </c>
      <c r="E825" s="202">
        <v>53370</v>
      </c>
    </row>
    <row r="826" spans="1:5" ht="16.5" x14ac:dyDescent="0.3">
      <c r="A826" s="200">
        <v>166</v>
      </c>
      <c r="B826" s="201" t="s">
        <v>1047</v>
      </c>
      <c r="C826" s="201" t="s">
        <v>239</v>
      </c>
      <c r="D826" s="201" t="s">
        <v>269</v>
      </c>
      <c r="E826" s="202">
        <v>1188</v>
      </c>
    </row>
    <row r="827" spans="1:5" ht="16.5" x14ac:dyDescent="0.3">
      <c r="A827" s="200"/>
      <c r="B827" s="201"/>
      <c r="C827" s="201"/>
      <c r="D827" s="201"/>
      <c r="E827" s="202"/>
    </row>
    <row r="828" spans="1:5" ht="16.5" x14ac:dyDescent="0.3">
      <c r="A828" s="203" t="s">
        <v>239</v>
      </c>
      <c r="B828" s="204" t="s">
        <v>1048</v>
      </c>
      <c r="C828" s="204"/>
      <c r="D828" s="204"/>
      <c r="E828" s="205"/>
    </row>
    <row r="829" spans="1:5" ht="16.5" x14ac:dyDescent="0.3">
      <c r="A829" s="200">
        <v>1</v>
      </c>
      <c r="B829" s="201" t="s">
        <v>1049</v>
      </c>
      <c r="C829" s="201" t="s">
        <v>239</v>
      </c>
      <c r="D829" s="201" t="s">
        <v>242</v>
      </c>
      <c r="E829" s="202">
        <v>14249.7</v>
      </c>
    </row>
    <row r="830" spans="1:5" ht="16.5" x14ac:dyDescent="0.3">
      <c r="A830" s="200">
        <v>2</v>
      </c>
      <c r="B830" s="201" t="s">
        <v>1050</v>
      </c>
      <c r="C830" s="201" t="s">
        <v>239</v>
      </c>
      <c r="D830" s="201" t="s">
        <v>504</v>
      </c>
      <c r="E830" s="202">
        <v>141.30000000000001</v>
      </c>
    </row>
    <row r="831" spans="1:5" ht="16.5" x14ac:dyDescent="0.3">
      <c r="A831" s="200">
        <v>3</v>
      </c>
      <c r="B831" s="201" t="s">
        <v>1051</v>
      </c>
      <c r="C831" s="201" t="s">
        <v>239</v>
      </c>
      <c r="D831" s="201" t="s">
        <v>38</v>
      </c>
      <c r="E831" s="202">
        <v>42075</v>
      </c>
    </row>
    <row r="832" spans="1:5" ht="16.5" x14ac:dyDescent="0.3">
      <c r="A832" s="200">
        <v>4</v>
      </c>
      <c r="B832" s="201" t="s">
        <v>1052</v>
      </c>
      <c r="C832" s="201" t="s">
        <v>239</v>
      </c>
      <c r="D832" s="201" t="s">
        <v>38</v>
      </c>
      <c r="E832" s="202">
        <v>37620</v>
      </c>
    </row>
    <row r="833" spans="1:5" ht="16.5" x14ac:dyDescent="0.3">
      <c r="A833" s="200">
        <v>5</v>
      </c>
      <c r="B833" s="201" t="s">
        <v>1053</v>
      </c>
      <c r="C833" s="201" t="s">
        <v>239</v>
      </c>
      <c r="D833" s="201" t="s">
        <v>504</v>
      </c>
      <c r="E833" s="202">
        <v>41085</v>
      </c>
    </row>
    <row r="834" spans="1:5" ht="16.5" x14ac:dyDescent="0.3">
      <c r="A834" s="200">
        <v>6</v>
      </c>
      <c r="B834" s="201" t="s">
        <v>1054</v>
      </c>
      <c r="C834" s="201" t="s">
        <v>239</v>
      </c>
      <c r="D834" s="201" t="s">
        <v>269</v>
      </c>
      <c r="E834" s="202">
        <v>6583.5</v>
      </c>
    </row>
    <row r="835" spans="1:5" ht="16.5" x14ac:dyDescent="0.3">
      <c r="A835" s="200">
        <v>7</v>
      </c>
      <c r="B835" s="201" t="s">
        <v>1055</v>
      </c>
      <c r="C835" s="201" t="s">
        <v>239</v>
      </c>
      <c r="D835" s="201" t="s">
        <v>280</v>
      </c>
      <c r="E835" s="202">
        <v>4950</v>
      </c>
    </row>
    <row r="836" spans="1:5" ht="16.5" x14ac:dyDescent="0.3">
      <c r="A836" s="200">
        <v>8</v>
      </c>
      <c r="B836" s="201" t="s">
        <v>1056</v>
      </c>
      <c r="C836" s="201" t="s">
        <v>239</v>
      </c>
      <c r="D836" s="201" t="s">
        <v>38</v>
      </c>
      <c r="E836" s="202">
        <v>12375</v>
      </c>
    </row>
    <row r="837" spans="1:5" ht="16.5" x14ac:dyDescent="0.3">
      <c r="A837" s="200">
        <v>9</v>
      </c>
      <c r="B837" s="201" t="s">
        <v>1057</v>
      </c>
      <c r="C837" s="201" t="s">
        <v>239</v>
      </c>
      <c r="D837" s="201" t="s">
        <v>20</v>
      </c>
      <c r="E837" s="202">
        <v>66825</v>
      </c>
    </row>
    <row r="838" spans="1:5" ht="16.5" x14ac:dyDescent="0.3">
      <c r="A838" s="200">
        <v>10</v>
      </c>
      <c r="B838" s="201" t="s">
        <v>1058</v>
      </c>
      <c r="C838" s="201" t="s">
        <v>239</v>
      </c>
      <c r="D838" s="201" t="s">
        <v>269</v>
      </c>
      <c r="E838" s="202">
        <v>2475</v>
      </c>
    </row>
    <row r="839" spans="1:5" ht="16.5" x14ac:dyDescent="0.3">
      <c r="A839" s="200">
        <v>11</v>
      </c>
      <c r="B839" s="201" t="s">
        <v>1059</v>
      </c>
      <c r="C839" s="201" t="s">
        <v>239</v>
      </c>
      <c r="D839" s="201" t="s">
        <v>269</v>
      </c>
      <c r="E839" s="202">
        <v>74250</v>
      </c>
    </row>
    <row r="840" spans="1:5" ht="16.5" x14ac:dyDescent="0.3">
      <c r="A840" s="200">
        <v>12</v>
      </c>
      <c r="B840" s="201" t="s">
        <v>1060</v>
      </c>
      <c r="C840" s="201" t="s">
        <v>239</v>
      </c>
      <c r="D840" s="201" t="s">
        <v>269</v>
      </c>
      <c r="E840" s="202">
        <v>123750</v>
      </c>
    </row>
    <row r="841" spans="1:5" ht="16.5" x14ac:dyDescent="0.3">
      <c r="A841" s="200">
        <v>13</v>
      </c>
      <c r="B841" s="201" t="s">
        <v>1061</v>
      </c>
      <c r="C841" s="201" t="s">
        <v>239</v>
      </c>
      <c r="D841" s="201" t="s">
        <v>269</v>
      </c>
      <c r="E841" s="202">
        <v>767250</v>
      </c>
    </row>
    <row r="842" spans="1:5" ht="16.5" x14ac:dyDescent="0.3">
      <c r="A842" s="200">
        <v>14</v>
      </c>
      <c r="B842" s="201" t="s">
        <v>1062</v>
      </c>
      <c r="C842" s="201" t="s">
        <v>239</v>
      </c>
      <c r="D842" s="201" t="s">
        <v>38</v>
      </c>
      <c r="E842" s="202">
        <v>56925</v>
      </c>
    </row>
    <row r="843" spans="1:5" ht="16.5" x14ac:dyDescent="0.3">
      <c r="A843" s="200">
        <v>15</v>
      </c>
      <c r="B843" s="201" t="s">
        <v>1063</v>
      </c>
      <c r="C843" s="201" t="s">
        <v>239</v>
      </c>
      <c r="D843" s="201" t="s">
        <v>280</v>
      </c>
      <c r="E843" s="202">
        <v>10890</v>
      </c>
    </row>
    <row r="844" spans="1:5" ht="16.5" x14ac:dyDescent="0.3">
      <c r="A844" s="200">
        <v>16</v>
      </c>
      <c r="B844" s="201" t="s">
        <v>1064</v>
      </c>
      <c r="C844" s="201" t="s">
        <v>239</v>
      </c>
      <c r="D844" s="201" t="s">
        <v>38</v>
      </c>
      <c r="E844" s="202">
        <v>7920</v>
      </c>
    </row>
    <row r="845" spans="1:5" ht="16.5" x14ac:dyDescent="0.3">
      <c r="A845" s="200">
        <v>17</v>
      </c>
      <c r="B845" s="201" t="s">
        <v>1065</v>
      </c>
      <c r="C845" s="201" t="s">
        <v>239</v>
      </c>
      <c r="D845" s="201" t="s">
        <v>320</v>
      </c>
      <c r="E845" s="202">
        <v>47520</v>
      </c>
    </row>
    <row r="846" spans="1:5" ht="16.5" x14ac:dyDescent="0.3">
      <c r="A846" s="200">
        <v>18</v>
      </c>
      <c r="B846" s="201" t="s">
        <v>1066</v>
      </c>
      <c r="C846" s="201" t="s">
        <v>239</v>
      </c>
      <c r="D846" s="201" t="s">
        <v>269</v>
      </c>
      <c r="E846" s="202">
        <v>2970</v>
      </c>
    </row>
    <row r="847" spans="1:5" ht="16.5" x14ac:dyDescent="0.3">
      <c r="A847" s="200">
        <v>19</v>
      </c>
      <c r="B847" s="201" t="s">
        <v>1067</v>
      </c>
      <c r="C847" s="201" t="s">
        <v>239</v>
      </c>
      <c r="D847" s="201" t="s">
        <v>269</v>
      </c>
      <c r="E847" s="202">
        <v>220275</v>
      </c>
    </row>
    <row r="848" spans="1:5" ht="16.5" x14ac:dyDescent="0.3">
      <c r="A848" s="200">
        <v>20</v>
      </c>
      <c r="B848" s="201" t="s">
        <v>1068</v>
      </c>
      <c r="C848" s="201" t="s">
        <v>239</v>
      </c>
      <c r="D848" s="201" t="s">
        <v>269</v>
      </c>
      <c r="E848" s="202">
        <v>5692.5</v>
      </c>
    </row>
    <row r="849" spans="1:5" ht="16.5" x14ac:dyDescent="0.3">
      <c r="A849" s="200">
        <v>21</v>
      </c>
      <c r="B849" s="201" t="s">
        <v>1069</v>
      </c>
      <c r="C849" s="201" t="s">
        <v>239</v>
      </c>
      <c r="D849" s="201" t="s">
        <v>233</v>
      </c>
      <c r="E849" s="202">
        <v>19305</v>
      </c>
    </row>
    <row r="850" spans="1:5" ht="16.5" x14ac:dyDescent="0.3">
      <c r="A850" s="200">
        <v>22</v>
      </c>
      <c r="B850" s="201" t="s">
        <v>1070</v>
      </c>
      <c r="C850" s="201" t="s">
        <v>239</v>
      </c>
      <c r="D850" s="201" t="s">
        <v>269</v>
      </c>
      <c r="E850" s="202">
        <v>2475</v>
      </c>
    </row>
    <row r="851" spans="1:5" ht="16.5" x14ac:dyDescent="0.3">
      <c r="A851" s="200">
        <v>23</v>
      </c>
      <c r="B851" s="201" t="s">
        <v>1071</v>
      </c>
      <c r="C851" s="201" t="s">
        <v>239</v>
      </c>
      <c r="D851" s="201" t="s">
        <v>14</v>
      </c>
      <c r="E851" s="202">
        <v>7425</v>
      </c>
    </row>
    <row r="852" spans="1:5" ht="16.5" x14ac:dyDescent="0.3">
      <c r="A852" s="200">
        <v>24</v>
      </c>
      <c r="B852" s="201" t="s">
        <v>1072</v>
      </c>
      <c r="C852" s="201" t="s">
        <v>239</v>
      </c>
      <c r="D852" s="201" t="s">
        <v>38</v>
      </c>
      <c r="E852" s="202">
        <v>17325</v>
      </c>
    </row>
    <row r="853" spans="1:5" ht="16.5" x14ac:dyDescent="0.3">
      <c r="A853" s="200">
        <v>25</v>
      </c>
      <c r="B853" s="201" t="s">
        <v>1073</v>
      </c>
      <c r="C853" s="201" t="s">
        <v>239</v>
      </c>
      <c r="D853" s="201" t="s">
        <v>14</v>
      </c>
      <c r="E853" s="202">
        <v>28215</v>
      </c>
    </row>
    <row r="854" spans="1:5" ht="16.5" x14ac:dyDescent="0.3">
      <c r="A854" s="200">
        <v>26</v>
      </c>
      <c r="B854" s="201" t="s">
        <v>1074</v>
      </c>
      <c r="C854" s="201" t="s">
        <v>239</v>
      </c>
      <c r="D854" s="201" t="s">
        <v>1075</v>
      </c>
      <c r="E854" s="202">
        <v>58500</v>
      </c>
    </row>
    <row r="855" spans="1:5" ht="16.5" x14ac:dyDescent="0.3">
      <c r="A855" s="200">
        <v>27</v>
      </c>
      <c r="B855" s="201" t="s">
        <v>1076</v>
      </c>
      <c r="C855" s="201" t="s">
        <v>239</v>
      </c>
      <c r="D855" s="201" t="s">
        <v>38</v>
      </c>
      <c r="E855" s="202">
        <v>32670</v>
      </c>
    </row>
    <row r="856" spans="1:5" ht="16.5" x14ac:dyDescent="0.3">
      <c r="A856" s="200">
        <v>28</v>
      </c>
      <c r="B856" s="201" t="s">
        <v>1077</v>
      </c>
      <c r="C856" s="201" t="s">
        <v>239</v>
      </c>
      <c r="D856" s="201" t="s">
        <v>38</v>
      </c>
      <c r="E856" s="202">
        <v>4950</v>
      </c>
    </row>
    <row r="857" spans="1:5" ht="16.5" x14ac:dyDescent="0.3">
      <c r="A857" s="200">
        <v>29</v>
      </c>
      <c r="B857" s="201" t="s">
        <v>1078</v>
      </c>
      <c r="C857" s="201" t="s">
        <v>239</v>
      </c>
      <c r="D857" s="201" t="s">
        <v>269</v>
      </c>
      <c r="E857" s="202">
        <v>7380</v>
      </c>
    </row>
    <row r="858" spans="1:5" ht="16.5" x14ac:dyDescent="0.3">
      <c r="A858" s="200">
        <v>30</v>
      </c>
      <c r="B858" s="201" t="s">
        <v>1079</v>
      </c>
      <c r="C858" s="201" t="s">
        <v>239</v>
      </c>
      <c r="D858" s="201" t="s">
        <v>20</v>
      </c>
      <c r="E858" s="202">
        <v>147000</v>
      </c>
    </row>
    <row r="859" spans="1:5" ht="16.5" x14ac:dyDescent="0.3">
      <c r="A859" s="200">
        <v>31</v>
      </c>
      <c r="B859" s="201" t="s">
        <v>1080</v>
      </c>
      <c r="C859" s="201" t="s">
        <v>239</v>
      </c>
      <c r="D859" s="201" t="s">
        <v>368</v>
      </c>
      <c r="E859" s="202">
        <v>470250</v>
      </c>
    </row>
    <row r="860" spans="1:5" ht="16.5" x14ac:dyDescent="0.3">
      <c r="A860" s="200">
        <v>32</v>
      </c>
      <c r="B860" s="201" t="s">
        <v>1081</v>
      </c>
      <c r="C860" s="201" t="s">
        <v>239</v>
      </c>
      <c r="D860" s="201" t="s">
        <v>368</v>
      </c>
      <c r="E860" s="202">
        <v>975150</v>
      </c>
    </row>
    <row r="861" spans="1:5" ht="16.5" x14ac:dyDescent="0.3">
      <c r="A861" s="200">
        <v>33</v>
      </c>
      <c r="B861" s="201" t="s">
        <v>1082</v>
      </c>
      <c r="C861" s="201" t="s">
        <v>239</v>
      </c>
      <c r="D861" s="201" t="s">
        <v>368</v>
      </c>
      <c r="E861" s="202">
        <v>81675</v>
      </c>
    </row>
    <row r="862" spans="1:5" ht="16.5" x14ac:dyDescent="0.3">
      <c r="A862" s="200">
        <v>34</v>
      </c>
      <c r="B862" s="201" t="s">
        <v>1083</v>
      </c>
      <c r="C862" s="201" t="s">
        <v>239</v>
      </c>
      <c r="D862" s="201" t="s">
        <v>368</v>
      </c>
      <c r="E862" s="202">
        <v>7920</v>
      </c>
    </row>
    <row r="863" spans="1:5" ht="16.5" x14ac:dyDescent="0.3">
      <c r="A863" s="200">
        <v>35</v>
      </c>
      <c r="B863" s="201" t="s">
        <v>1084</v>
      </c>
      <c r="C863" s="201" t="s">
        <v>239</v>
      </c>
      <c r="D863" s="201" t="s">
        <v>320</v>
      </c>
      <c r="E863" s="202">
        <v>17325</v>
      </c>
    </row>
    <row r="864" spans="1:5" ht="16.5" x14ac:dyDescent="0.3">
      <c r="A864" s="200">
        <v>36</v>
      </c>
      <c r="B864" s="201" t="s">
        <v>1085</v>
      </c>
      <c r="C864" s="201" t="s">
        <v>239</v>
      </c>
      <c r="D864" s="201" t="s">
        <v>782</v>
      </c>
      <c r="E864" s="202">
        <v>163350</v>
      </c>
    </row>
    <row r="865" spans="1:5" ht="16.5" x14ac:dyDescent="0.3">
      <c r="A865" s="200">
        <v>37</v>
      </c>
      <c r="B865" s="201" t="s">
        <v>1086</v>
      </c>
      <c r="C865" s="201" t="s">
        <v>239</v>
      </c>
      <c r="D865" s="201" t="s">
        <v>269</v>
      </c>
      <c r="E865" s="202">
        <v>64350</v>
      </c>
    </row>
    <row r="866" spans="1:5" ht="16.5" x14ac:dyDescent="0.3">
      <c r="A866" s="200">
        <v>38</v>
      </c>
      <c r="B866" s="201" t="s">
        <v>1087</v>
      </c>
      <c r="C866" s="201" t="s">
        <v>239</v>
      </c>
      <c r="D866" s="201" t="s">
        <v>504</v>
      </c>
      <c r="E866" s="202">
        <v>59400</v>
      </c>
    </row>
    <row r="867" spans="1:5" ht="16.5" x14ac:dyDescent="0.3">
      <c r="A867" s="200">
        <v>39</v>
      </c>
      <c r="B867" s="201" t="s">
        <v>1088</v>
      </c>
      <c r="C867" s="201" t="s">
        <v>239</v>
      </c>
      <c r="D867" s="201" t="s">
        <v>38</v>
      </c>
      <c r="E867" s="202">
        <v>9459</v>
      </c>
    </row>
    <row r="868" spans="1:5" ht="16.5" x14ac:dyDescent="0.3">
      <c r="A868" s="200">
        <v>40</v>
      </c>
      <c r="B868" s="201" t="s">
        <v>1089</v>
      </c>
      <c r="C868" s="201" t="s">
        <v>239</v>
      </c>
      <c r="D868" s="201" t="s">
        <v>38</v>
      </c>
      <c r="E868" s="202">
        <v>10059.300000000001</v>
      </c>
    </row>
    <row r="869" spans="1:5" ht="16.5" x14ac:dyDescent="0.3">
      <c r="A869" s="200">
        <v>41</v>
      </c>
      <c r="B869" s="201" t="s">
        <v>1090</v>
      </c>
      <c r="C869" s="201" t="s">
        <v>239</v>
      </c>
      <c r="D869" s="201" t="s">
        <v>14</v>
      </c>
      <c r="E869" s="202">
        <v>396000</v>
      </c>
    </row>
    <row r="870" spans="1:5" ht="16.5" x14ac:dyDescent="0.3">
      <c r="A870" s="200">
        <v>42</v>
      </c>
      <c r="B870" s="201" t="s">
        <v>1091</v>
      </c>
      <c r="C870" s="201" t="s">
        <v>239</v>
      </c>
      <c r="D870" s="201" t="s">
        <v>269</v>
      </c>
      <c r="E870" s="202">
        <v>519750</v>
      </c>
    </row>
    <row r="871" spans="1:5" ht="16.5" x14ac:dyDescent="0.3">
      <c r="A871" s="200">
        <v>43</v>
      </c>
      <c r="B871" s="201" t="s">
        <v>1092</v>
      </c>
      <c r="C871" s="201" t="s">
        <v>239</v>
      </c>
      <c r="D871" s="201" t="s">
        <v>269</v>
      </c>
      <c r="E871" s="202">
        <v>2475000</v>
      </c>
    </row>
    <row r="872" spans="1:5" ht="16.5" x14ac:dyDescent="0.3">
      <c r="A872" s="200">
        <v>44</v>
      </c>
      <c r="B872" s="201" t="s">
        <v>1093</v>
      </c>
      <c r="C872" s="201" t="s">
        <v>239</v>
      </c>
      <c r="D872" s="201" t="s">
        <v>269</v>
      </c>
      <c r="E872" s="202">
        <v>3960</v>
      </c>
    </row>
    <row r="873" spans="1:5" ht="16.5" x14ac:dyDescent="0.3">
      <c r="A873" s="200">
        <v>45</v>
      </c>
      <c r="B873" s="201" t="s">
        <v>1094</v>
      </c>
      <c r="C873" s="201" t="s">
        <v>239</v>
      </c>
      <c r="D873" s="201" t="s">
        <v>269</v>
      </c>
      <c r="E873" s="202">
        <v>4752</v>
      </c>
    </row>
    <row r="874" spans="1:5" ht="16.5" x14ac:dyDescent="0.3">
      <c r="A874" s="200">
        <v>46</v>
      </c>
      <c r="B874" s="201" t="s">
        <v>1095</v>
      </c>
      <c r="C874" s="201" t="s">
        <v>239</v>
      </c>
      <c r="D874" s="201" t="s">
        <v>269</v>
      </c>
      <c r="E874" s="202">
        <v>5940</v>
      </c>
    </row>
    <row r="875" spans="1:5" ht="16.5" x14ac:dyDescent="0.3">
      <c r="A875" s="200">
        <v>47</v>
      </c>
      <c r="B875" s="201" t="s">
        <v>1096</v>
      </c>
      <c r="C875" s="201" t="s">
        <v>239</v>
      </c>
      <c r="D875" s="201" t="s">
        <v>269</v>
      </c>
      <c r="E875" s="202">
        <v>7920</v>
      </c>
    </row>
    <row r="876" spans="1:5" ht="16.5" x14ac:dyDescent="0.3">
      <c r="A876" s="200">
        <v>48</v>
      </c>
      <c r="B876" s="201" t="s">
        <v>1097</v>
      </c>
      <c r="C876" s="201" t="s">
        <v>239</v>
      </c>
      <c r="D876" s="201" t="s">
        <v>269</v>
      </c>
      <c r="E876" s="202">
        <v>22981.5</v>
      </c>
    </row>
    <row r="877" spans="1:5" ht="16.5" x14ac:dyDescent="0.3">
      <c r="A877" s="200">
        <v>49</v>
      </c>
      <c r="B877" s="201" t="s">
        <v>1098</v>
      </c>
      <c r="C877" s="201" t="s">
        <v>239</v>
      </c>
      <c r="D877" s="201" t="s">
        <v>269</v>
      </c>
      <c r="E877" s="202">
        <v>25456.5</v>
      </c>
    </row>
    <row r="878" spans="1:5" ht="16.5" x14ac:dyDescent="0.3">
      <c r="A878" s="200">
        <v>50</v>
      </c>
      <c r="B878" s="201" t="s">
        <v>1099</v>
      </c>
      <c r="C878" s="201" t="s">
        <v>239</v>
      </c>
      <c r="D878" s="201" t="s">
        <v>269</v>
      </c>
      <c r="E878" s="202">
        <v>46435.5</v>
      </c>
    </row>
    <row r="879" spans="1:5" ht="16.5" x14ac:dyDescent="0.3">
      <c r="A879" s="200">
        <v>51</v>
      </c>
      <c r="B879" s="201" t="s">
        <v>1100</v>
      </c>
      <c r="C879" s="201" t="s">
        <v>239</v>
      </c>
      <c r="D879" s="201" t="s">
        <v>38</v>
      </c>
      <c r="E879" s="202">
        <v>41580</v>
      </c>
    </row>
    <row r="880" spans="1:5" ht="16.5" x14ac:dyDescent="0.3">
      <c r="A880" s="200">
        <v>52</v>
      </c>
      <c r="B880" s="201" t="s">
        <v>1101</v>
      </c>
      <c r="C880" s="201" t="s">
        <v>239</v>
      </c>
      <c r="D880" s="201" t="s">
        <v>269</v>
      </c>
      <c r="E880" s="202">
        <v>112161.60000000001</v>
      </c>
    </row>
    <row r="881" spans="1:5" ht="16.5" x14ac:dyDescent="0.3">
      <c r="A881" s="200">
        <v>53</v>
      </c>
      <c r="B881" s="201" t="s">
        <v>1102</v>
      </c>
      <c r="C881" s="201"/>
      <c r="D881" s="201" t="s">
        <v>269</v>
      </c>
      <c r="E881" s="202">
        <v>9000</v>
      </c>
    </row>
    <row r="882" spans="1:5" ht="16.5" x14ac:dyDescent="0.3">
      <c r="A882" s="200">
        <v>54</v>
      </c>
      <c r="B882" s="201" t="s">
        <v>1103</v>
      </c>
      <c r="C882" s="201" t="s">
        <v>239</v>
      </c>
      <c r="D882" s="201" t="s">
        <v>38</v>
      </c>
      <c r="E882" s="202">
        <v>6930</v>
      </c>
    </row>
    <row r="883" spans="1:5" ht="16.5" x14ac:dyDescent="0.3">
      <c r="A883" s="200">
        <v>55</v>
      </c>
      <c r="B883" s="201" t="s">
        <v>1104</v>
      </c>
      <c r="C883" s="201" t="s">
        <v>239</v>
      </c>
      <c r="D883" s="201" t="s">
        <v>14</v>
      </c>
      <c r="E883" s="202">
        <v>180000</v>
      </c>
    </row>
    <row r="884" spans="1:5" ht="16.5" x14ac:dyDescent="0.3">
      <c r="A884" s="200">
        <v>56</v>
      </c>
      <c r="B884" s="201" t="s">
        <v>841</v>
      </c>
      <c r="C884" s="201" t="s">
        <v>239</v>
      </c>
      <c r="D884" s="201" t="s">
        <v>269</v>
      </c>
      <c r="E884" s="202">
        <v>900</v>
      </c>
    </row>
    <row r="885" spans="1:5" ht="16.5" x14ac:dyDescent="0.3">
      <c r="A885" s="200">
        <v>57</v>
      </c>
      <c r="B885" s="201" t="s">
        <v>1074</v>
      </c>
      <c r="C885" s="201" t="s">
        <v>239</v>
      </c>
      <c r="D885" s="201" t="s">
        <v>1075</v>
      </c>
      <c r="E885" s="202">
        <v>58500</v>
      </c>
    </row>
    <row r="886" spans="1:5" ht="16.5" x14ac:dyDescent="0.3">
      <c r="A886" s="200">
        <v>58</v>
      </c>
      <c r="B886" s="201" t="s">
        <v>1105</v>
      </c>
      <c r="C886" s="201" t="s">
        <v>239</v>
      </c>
      <c r="D886" s="201" t="s">
        <v>14</v>
      </c>
      <c r="E886" s="202">
        <v>225000</v>
      </c>
    </row>
    <row r="887" spans="1:5" ht="16.5" x14ac:dyDescent="0.3">
      <c r="A887" s="200">
        <v>59</v>
      </c>
      <c r="B887" s="201" t="s">
        <v>1106</v>
      </c>
      <c r="C887" s="201" t="s">
        <v>239</v>
      </c>
      <c r="D887" s="201" t="s">
        <v>269</v>
      </c>
      <c r="E887" s="202">
        <v>13500</v>
      </c>
    </row>
    <row r="888" spans="1:5" ht="17.25" thickBot="1" x14ac:dyDescent="0.35">
      <c r="A888" s="216">
        <v>60</v>
      </c>
      <c r="B888" s="217" t="s">
        <v>1107</v>
      </c>
      <c r="C888" s="217" t="s">
        <v>239</v>
      </c>
      <c r="D888" s="217" t="s">
        <v>14</v>
      </c>
      <c r="E888" s="218">
        <v>315000</v>
      </c>
    </row>
    <row r="889" spans="1:5" ht="15.75" thickTop="1" x14ac:dyDescent="0.25"/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12" sqref="F12"/>
    </sheetView>
  </sheetViews>
  <sheetFormatPr defaultRowHeight="15" x14ac:dyDescent="0.25"/>
  <cols>
    <col min="1" max="1" width="3.7109375" bestFit="1" customWidth="1"/>
    <col min="2" max="2" width="31.140625" bestFit="1" customWidth="1"/>
    <col min="3" max="3" width="7.7109375" bestFit="1" customWidth="1"/>
    <col min="4" max="4" width="19.7109375" bestFit="1" customWidth="1"/>
  </cols>
  <sheetData>
    <row r="1" spans="1:4" ht="15.75" x14ac:dyDescent="0.25">
      <c r="A1" s="239" t="s">
        <v>212</v>
      </c>
      <c r="B1" s="239"/>
      <c r="C1" s="239"/>
      <c r="D1" s="239"/>
    </row>
    <row r="2" spans="1:4" ht="15.75" x14ac:dyDescent="0.25">
      <c r="A2" s="239" t="s">
        <v>213</v>
      </c>
      <c r="B2" s="239"/>
      <c r="C2" s="239"/>
      <c r="D2" s="239"/>
    </row>
    <row r="3" spans="1:4" ht="15.75" thickBot="1" x14ac:dyDescent="0.3">
      <c r="A3" s="181"/>
      <c r="B3" s="182"/>
      <c r="C3" s="181"/>
      <c r="D3" s="181"/>
    </row>
    <row r="4" spans="1:4" ht="15.75" thickTop="1" x14ac:dyDescent="0.25">
      <c r="A4" s="240" t="s">
        <v>214</v>
      </c>
      <c r="B4" s="242" t="s">
        <v>215</v>
      </c>
      <c r="C4" s="242" t="s">
        <v>10</v>
      </c>
      <c r="D4" s="244" t="s">
        <v>216</v>
      </c>
    </row>
    <row r="5" spans="1:4" x14ac:dyDescent="0.25">
      <c r="A5" s="241"/>
      <c r="B5" s="243"/>
      <c r="C5" s="243"/>
      <c r="D5" s="245"/>
    </row>
    <row r="6" spans="1:4" ht="16.5" x14ac:dyDescent="0.3">
      <c r="A6" s="183">
        <v>1</v>
      </c>
      <c r="B6" s="184" t="s">
        <v>217</v>
      </c>
      <c r="C6" s="185" t="s">
        <v>211</v>
      </c>
      <c r="D6" s="186">
        <v>70000</v>
      </c>
    </row>
    <row r="7" spans="1:4" ht="16.5" x14ac:dyDescent="0.3">
      <c r="A7" s="183">
        <v>2</v>
      </c>
      <c r="B7" s="184" t="s">
        <v>220</v>
      </c>
      <c r="C7" s="185" t="s">
        <v>211</v>
      </c>
      <c r="D7" s="186">
        <v>85000</v>
      </c>
    </row>
    <row r="8" spans="1:4" ht="16.5" x14ac:dyDescent="0.3">
      <c r="A8" s="183">
        <v>3</v>
      </c>
      <c r="B8" s="184" t="s">
        <v>1112</v>
      </c>
      <c r="C8" s="185" t="s">
        <v>211</v>
      </c>
      <c r="D8" s="186">
        <v>85000</v>
      </c>
    </row>
    <row r="9" spans="1:4" ht="16.5" x14ac:dyDescent="0.3">
      <c r="A9" s="183">
        <v>4</v>
      </c>
      <c r="B9" s="184" t="s">
        <v>218</v>
      </c>
      <c r="C9" s="185" t="s">
        <v>211</v>
      </c>
      <c r="D9" s="186">
        <v>80000</v>
      </c>
    </row>
    <row r="10" spans="1:4" ht="16.5" x14ac:dyDescent="0.3">
      <c r="A10" s="183">
        <v>5</v>
      </c>
      <c r="B10" s="184" t="s">
        <v>1113</v>
      </c>
      <c r="C10" s="185" t="s">
        <v>211</v>
      </c>
      <c r="D10" s="186">
        <v>70000</v>
      </c>
    </row>
    <row r="11" spans="1:4" ht="16.5" x14ac:dyDescent="0.3">
      <c r="A11" s="183">
        <v>6</v>
      </c>
      <c r="B11" s="184" t="s">
        <v>1114</v>
      </c>
      <c r="C11" s="185" t="s">
        <v>211</v>
      </c>
      <c r="D11" s="186">
        <v>90000</v>
      </c>
    </row>
    <row r="12" spans="1:4" ht="16.5" x14ac:dyDescent="0.3">
      <c r="A12" s="183">
        <v>7</v>
      </c>
      <c r="B12" s="184" t="s">
        <v>1115</v>
      </c>
      <c r="C12" s="185" t="s">
        <v>211</v>
      </c>
      <c r="D12" s="186">
        <v>80000</v>
      </c>
    </row>
    <row r="13" spans="1:4" ht="16.5" x14ac:dyDescent="0.3">
      <c r="A13" s="183">
        <v>8</v>
      </c>
      <c r="B13" s="184" t="s">
        <v>1116</v>
      </c>
      <c r="C13" s="185" t="s">
        <v>211</v>
      </c>
      <c r="D13" s="186">
        <v>85000</v>
      </c>
    </row>
    <row r="14" spans="1:4" ht="16.5" x14ac:dyDescent="0.3">
      <c r="A14" s="183">
        <v>9</v>
      </c>
      <c r="B14" s="184" t="s">
        <v>1117</v>
      </c>
      <c r="C14" s="185" t="s">
        <v>211</v>
      </c>
      <c r="D14" s="186">
        <v>70000</v>
      </c>
    </row>
    <row r="15" spans="1:4" ht="16.5" x14ac:dyDescent="0.3">
      <c r="A15" s="183">
        <v>10</v>
      </c>
      <c r="B15" s="184" t="s">
        <v>1118</v>
      </c>
      <c r="C15" s="185" t="s">
        <v>211</v>
      </c>
      <c r="D15" s="186">
        <v>90000</v>
      </c>
    </row>
    <row r="16" spans="1:4" ht="16.5" x14ac:dyDescent="0.3">
      <c r="A16" s="183">
        <v>11</v>
      </c>
      <c r="B16" s="184" t="s">
        <v>1119</v>
      </c>
      <c r="C16" s="185" t="s">
        <v>211</v>
      </c>
      <c r="D16" s="186">
        <v>90000</v>
      </c>
    </row>
    <row r="17" spans="1:4" ht="16.5" x14ac:dyDescent="0.3">
      <c r="A17" s="183">
        <v>12</v>
      </c>
      <c r="B17" s="184" t="s">
        <v>219</v>
      </c>
      <c r="C17" s="185" t="s">
        <v>211</v>
      </c>
      <c r="D17" s="186">
        <v>80000</v>
      </c>
    </row>
    <row r="18" spans="1:4" ht="16.5" x14ac:dyDescent="0.3">
      <c r="A18" s="183">
        <v>13</v>
      </c>
      <c r="B18" s="184" t="s">
        <v>1120</v>
      </c>
      <c r="C18" s="185" t="s">
        <v>211</v>
      </c>
      <c r="D18" s="186">
        <v>70000</v>
      </c>
    </row>
    <row r="19" spans="1:4" ht="16.5" x14ac:dyDescent="0.3">
      <c r="A19" s="183">
        <v>14</v>
      </c>
      <c r="B19" s="184" t="s">
        <v>1121</v>
      </c>
      <c r="C19" s="185" t="s">
        <v>211</v>
      </c>
      <c r="D19" s="186">
        <v>85000</v>
      </c>
    </row>
    <row r="20" spans="1:4" ht="16.5" x14ac:dyDescent="0.3">
      <c r="A20" s="183">
        <v>15</v>
      </c>
      <c r="B20" s="184" t="s">
        <v>1122</v>
      </c>
      <c r="C20" s="185" t="s">
        <v>211</v>
      </c>
      <c r="D20" s="186">
        <v>80000</v>
      </c>
    </row>
    <row r="21" spans="1:4" ht="16.5" x14ac:dyDescent="0.3">
      <c r="A21" s="183">
        <v>16</v>
      </c>
      <c r="B21" s="184" t="s">
        <v>1123</v>
      </c>
      <c r="C21" s="185" t="s">
        <v>211</v>
      </c>
      <c r="D21" s="186">
        <v>85000</v>
      </c>
    </row>
    <row r="22" spans="1:4" ht="16.5" x14ac:dyDescent="0.3">
      <c r="A22" s="183">
        <v>17</v>
      </c>
      <c r="B22" s="184" t="s">
        <v>1124</v>
      </c>
      <c r="C22" s="185" t="s">
        <v>211</v>
      </c>
      <c r="D22" s="186">
        <v>90000</v>
      </c>
    </row>
    <row r="23" spans="1:4" ht="16.5" x14ac:dyDescent="0.3">
      <c r="A23" s="183">
        <v>18</v>
      </c>
      <c r="B23" s="184" t="s">
        <v>1125</v>
      </c>
      <c r="C23" s="185" t="s">
        <v>211</v>
      </c>
      <c r="D23" s="187">
        <v>100000</v>
      </c>
    </row>
    <row r="24" spans="1:4" ht="16.5" x14ac:dyDescent="0.3">
      <c r="A24" s="183">
        <v>19</v>
      </c>
      <c r="B24" s="184" t="s">
        <v>1126</v>
      </c>
      <c r="C24" s="185" t="s">
        <v>211</v>
      </c>
      <c r="D24" s="187">
        <v>85000</v>
      </c>
    </row>
    <row r="25" spans="1:4" ht="16.5" x14ac:dyDescent="0.3">
      <c r="A25" s="183">
        <v>20</v>
      </c>
      <c r="B25" s="184" t="s">
        <v>1127</v>
      </c>
      <c r="C25" s="185" t="s">
        <v>211</v>
      </c>
      <c r="D25" s="187">
        <v>80000</v>
      </c>
    </row>
    <row r="26" spans="1:4" ht="16.5" x14ac:dyDescent="0.3">
      <c r="A26" s="183">
        <v>21</v>
      </c>
      <c r="B26" s="184" t="s">
        <v>1128</v>
      </c>
      <c r="C26" s="185" t="s">
        <v>211</v>
      </c>
      <c r="D26" s="187">
        <v>90000</v>
      </c>
    </row>
    <row r="27" spans="1:4" ht="16.5" x14ac:dyDescent="0.3">
      <c r="A27" s="183">
        <v>22</v>
      </c>
      <c r="B27" s="184" t="s">
        <v>1129</v>
      </c>
      <c r="C27" s="185" t="s">
        <v>211</v>
      </c>
      <c r="D27" s="187">
        <v>80000</v>
      </c>
    </row>
    <row r="28" spans="1:4" ht="16.5" x14ac:dyDescent="0.3">
      <c r="A28" s="183">
        <v>23</v>
      </c>
      <c r="B28" s="184" t="s">
        <v>1130</v>
      </c>
      <c r="C28" s="185" t="s">
        <v>211</v>
      </c>
      <c r="D28" s="187">
        <v>80000</v>
      </c>
    </row>
    <row r="29" spans="1:4" ht="16.5" x14ac:dyDescent="0.3">
      <c r="A29" s="183">
        <v>24</v>
      </c>
      <c r="B29" s="184" t="s">
        <v>1131</v>
      </c>
      <c r="C29" s="185" t="s">
        <v>211</v>
      </c>
      <c r="D29" s="187">
        <v>90000</v>
      </c>
    </row>
    <row r="30" spans="1:4" ht="16.5" x14ac:dyDescent="0.3">
      <c r="A30" s="183">
        <v>25</v>
      </c>
      <c r="B30" s="184" t="s">
        <v>1132</v>
      </c>
      <c r="C30" s="185" t="s">
        <v>211</v>
      </c>
      <c r="D30" s="187">
        <v>80000</v>
      </c>
    </row>
    <row r="31" spans="1:4" ht="16.5" x14ac:dyDescent="0.3">
      <c r="A31" s="183">
        <v>26</v>
      </c>
      <c r="B31" s="184" t="s">
        <v>1133</v>
      </c>
      <c r="C31" s="185" t="s">
        <v>211</v>
      </c>
      <c r="D31" s="187">
        <v>85000</v>
      </c>
    </row>
    <row r="32" spans="1:4" ht="16.5" x14ac:dyDescent="0.3">
      <c r="A32" s="183">
        <v>27</v>
      </c>
      <c r="B32" s="184" t="s">
        <v>1134</v>
      </c>
      <c r="C32" s="185" t="s">
        <v>211</v>
      </c>
      <c r="D32" s="187">
        <v>80000</v>
      </c>
    </row>
    <row r="33" spans="1:4" ht="16.5" x14ac:dyDescent="0.3">
      <c r="A33" s="183">
        <v>28</v>
      </c>
      <c r="B33" s="184" t="s">
        <v>1135</v>
      </c>
      <c r="C33" s="185" t="s">
        <v>211</v>
      </c>
      <c r="D33" s="187">
        <v>75000</v>
      </c>
    </row>
    <row r="34" spans="1:4" ht="16.5" x14ac:dyDescent="0.3">
      <c r="A34" s="183">
        <v>29</v>
      </c>
      <c r="B34" s="184" t="s">
        <v>221</v>
      </c>
      <c r="C34" s="185" t="s">
        <v>211</v>
      </c>
      <c r="D34" s="187">
        <v>85000</v>
      </c>
    </row>
    <row r="35" spans="1:4" ht="16.5" x14ac:dyDescent="0.3">
      <c r="A35" s="183">
        <v>30</v>
      </c>
      <c r="B35" s="184" t="s">
        <v>1136</v>
      </c>
      <c r="C35" s="185" t="s">
        <v>211</v>
      </c>
      <c r="D35" s="187">
        <v>80000</v>
      </c>
    </row>
    <row r="36" spans="1:4" ht="16.5" x14ac:dyDescent="0.3">
      <c r="A36" s="183">
        <v>31</v>
      </c>
      <c r="B36" s="184" t="s">
        <v>1137</v>
      </c>
      <c r="C36" s="185" t="s">
        <v>211</v>
      </c>
      <c r="D36" s="187">
        <v>80000</v>
      </c>
    </row>
    <row r="37" spans="1:4" ht="16.5" x14ac:dyDescent="0.3">
      <c r="A37" s="183">
        <v>32</v>
      </c>
      <c r="B37" s="184" t="s">
        <v>1138</v>
      </c>
      <c r="C37" s="185" t="s">
        <v>1111</v>
      </c>
      <c r="D37" s="187">
        <v>150000</v>
      </c>
    </row>
    <row r="38" spans="1:4" ht="17.25" thickBot="1" x14ac:dyDescent="0.35">
      <c r="A38" s="188">
        <v>33</v>
      </c>
      <c r="B38" s="189" t="s">
        <v>1139</v>
      </c>
      <c r="C38" s="190" t="s">
        <v>1111</v>
      </c>
      <c r="D38" s="191">
        <v>85000</v>
      </c>
    </row>
    <row r="39" spans="1:4" ht="15.75" thickTop="1" x14ac:dyDescent="0.25"/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REKAPITULASI</vt:lpstr>
      <vt:lpstr>RAB</vt:lpstr>
      <vt:lpstr>AHSP</vt:lpstr>
      <vt:lpstr>HSM</vt:lpstr>
      <vt:lpstr>HSU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ARDHI</dc:creator>
  <cp:lastModifiedBy>Edgar</cp:lastModifiedBy>
  <dcterms:created xsi:type="dcterms:W3CDTF">2019-04-23T03:04:25Z</dcterms:created>
  <dcterms:modified xsi:type="dcterms:W3CDTF">2019-05-12T12:08:20Z</dcterms:modified>
</cp:coreProperties>
</file>